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updateLinks="never" codeName="DieseArbeitsmappe"/>
  <workbookProtection workbookPassword="C8C7" lockStructure="1"/>
  <bookViews>
    <workbookView xWindow="0" yWindow="2340" windowWidth="16380" windowHeight="5805" tabRatio="681"/>
  </bookViews>
  <sheets>
    <sheet name="Anleitung" sheetId="10" r:id="rId1"/>
    <sheet name="Grunddaten_Antrag" sheetId="1" r:id="rId2"/>
    <sheet name="Personal" sheetId="3" r:id="rId3"/>
    <sheet name="AMZ" sheetId="12" r:id="rId4"/>
    <sheet name="S8b Ausgleich" sheetId="11" r:id="rId5"/>
    <sheet name="Beantragte MFF-Förderung" sheetId="5" r:id="rId6"/>
    <sheet name="Berechnungsprotokoll" sheetId="6" state="hidden" r:id="rId7"/>
    <sheet name="Tabelle2" sheetId="9" state="hidden" r:id="rId8"/>
    <sheet name="Basiswerte" sheetId="7" state="hidden" r:id="rId9"/>
    <sheet name="kfU3" sheetId="13" state="hidden" r:id="rId10"/>
  </sheets>
  <definedNames>
    <definedName name="_xlnm.Print_Area" localSheetId="3">AMZ!$B$1:$K$53</definedName>
    <definedName name="_xlnm.Print_Area" localSheetId="0">Anleitung!$B$2:$S$243</definedName>
    <definedName name="_xlnm.Print_Area" localSheetId="5">'Beantragte MFF-Förderung'!$A$1:$I$47</definedName>
    <definedName name="_xlnm.Print_Area" localSheetId="6">Berechnungsprotokoll!$A$2:$O$204</definedName>
    <definedName name="_xlnm.Print_Area" localSheetId="1">Grunddaten_Antrag!$B$2:$I$96</definedName>
    <definedName name="_xlnm.Print_Area" localSheetId="2">Personal!$B$1:$U$185</definedName>
    <definedName name="_xlnm.Print_Area" localSheetId="4">'S8b Ausgleich'!$B$2:$L$54</definedName>
    <definedName name="Excel_BuiltIn_Print_Area_1">Grunddaten_Antrag!$A$1:$I$114</definedName>
  </definedNames>
  <calcPr calcId="145621" fullPrecision="0" concurrentCalc="0"/>
</workbook>
</file>

<file path=xl/calcChain.xml><?xml version="1.0" encoding="utf-8"?>
<calcChain xmlns="http://schemas.openxmlformats.org/spreadsheetml/2006/main">
  <c r="E13" i="5" l="1"/>
  <c r="E14" i="5"/>
  <c r="D16" i="5"/>
  <c r="F16" i="5"/>
  <c r="F14" i="5"/>
  <c r="F13" i="5"/>
  <c r="F21" i="5"/>
  <c r="D27" i="5"/>
  <c r="D28" i="5"/>
  <c r="H54" i="11"/>
  <c r="E19" i="5"/>
  <c r="E18" i="5"/>
  <c r="B23" i="9"/>
  <c r="B15" i="9"/>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13" i="12"/>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14" i="11"/>
  <c r="Q14" i="12"/>
  <c r="Q15" i="12"/>
  <c r="Q16" i="12"/>
  <c r="Q17" i="12"/>
  <c r="K17" i="12"/>
  <c r="Q18" i="12"/>
  <c r="K18" i="12"/>
  <c r="Q19" i="12"/>
  <c r="K19" i="12"/>
  <c r="Q20" i="12"/>
  <c r="K20" i="12"/>
  <c r="Q21" i="12"/>
  <c r="K21" i="12"/>
  <c r="Q22" i="12"/>
  <c r="K22" i="12"/>
  <c r="Q23" i="12"/>
  <c r="K23" i="12"/>
  <c r="Q24" i="12"/>
  <c r="K24" i="12"/>
  <c r="Q25" i="12"/>
  <c r="K25" i="12"/>
  <c r="Q26" i="12"/>
  <c r="K26" i="12"/>
  <c r="Q27" i="12"/>
  <c r="K27" i="12"/>
  <c r="Q28" i="12"/>
  <c r="K28" i="12"/>
  <c r="Q29" i="12"/>
  <c r="K29" i="12"/>
  <c r="Q30" i="12"/>
  <c r="K30" i="12"/>
  <c r="Q31" i="12"/>
  <c r="K31" i="12"/>
  <c r="Q32" i="12"/>
  <c r="K32" i="12"/>
  <c r="Q33" i="12"/>
  <c r="K33" i="12"/>
  <c r="Q34" i="12"/>
  <c r="K34" i="12"/>
  <c r="Q35" i="12"/>
  <c r="K35" i="12"/>
  <c r="Q36" i="12"/>
  <c r="K36" i="12"/>
  <c r="Q37" i="12"/>
  <c r="K37" i="12"/>
  <c r="Q38" i="12"/>
  <c r="K38" i="12"/>
  <c r="Q39" i="12"/>
  <c r="K39" i="12"/>
  <c r="Q40" i="12"/>
  <c r="K40" i="12"/>
  <c r="Q41" i="12"/>
  <c r="K41" i="12"/>
  <c r="Q42" i="12"/>
  <c r="K42" i="12"/>
  <c r="Q43" i="12"/>
  <c r="K43" i="12"/>
  <c r="Q44" i="12"/>
  <c r="K44" i="12"/>
  <c r="Q45" i="12"/>
  <c r="K45" i="12"/>
  <c r="Q46" i="12"/>
  <c r="K46" i="12"/>
  <c r="Q47" i="12"/>
  <c r="K47" i="12"/>
  <c r="Q48" i="12"/>
  <c r="K48" i="12"/>
  <c r="Q49" i="12"/>
  <c r="K49" i="12"/>
  <c r="Q50" i="12"/>
  <c r="K50" i="12"/>
  <c r="Q51" i="12"/>
  <c r="Q52" i="12"/>
  <c r="K52" i="12"/>
  <c r="Q13" i="12"/>
  <c r="B64" i="6"/>
  <c r="F64" i="6"/>
  <c r="C64" i="6"/>
  <c r="F152" i="3"/>
  <c r="E64" i="6"/>
  <c r="E71" i="6"/>
  <c r="B65" i="6"/>
  <c r="F65" i="6"/>
  <c r="G65" i="6"/>
  <c r="C65" i="6"/>
  <c r="F153" i="3"/>
  <c r="E65" i="6"/>
  <c r="B66" i="6"/>
  <c r="F66" i="6"/>
  <c r="G66" i="6"/>
  <c r="C66" i="6"/>
  <c r="F154" i="3"/>
  <c r="E66" i="6"/>
  <c r="B67" i="6"/>
  <c r="F67" i="6"/>
  <c r="G67" i="6"/>
  <c r="H67" i="6"/>
  <c r="C67" i="6"/>
  <c r="F155" i="3"/>
  <c r="E67" i="6"/>
  <c r="B68" i="6"/>
  <c r="F68" i="6"/>
  <c r="C68" i="6"/>
  <c r="F156" i="3"/>
  <c r="E68" i="6"/>
  <c r="B69" i="6"/>
  <c r="F69" i="6"/>
  <c r="C69" i="6"/>
  <c r="E69" i="6"/>
  <c r="B70" i="6"/>
  <c r="F70" i="6"/>
  <c r="C70" i="6"/>
  <c r="E70" i="6"/>
  <c r="B77" i="6"/>
  <c r="F77" i="6"/>
  <c r="C77" i="6"/>
  <c r="F166" i="3"/>
  <c r="E77" i="6"/>
  <c r="E84" i="6"/>
  <c r="B78" i="6"/>
  <c r="F78" i="6"/>
  <c r="G78" i="6"/>
  <c r="C78" i="6"/>
  <c r="F167" i="3"/>
  <c r="E78" i="6"/>
  <c r="B79" i="6"/>
  <c r="F79" i="6"/>
  <c r="G79" i="6"/>
  <c r="C79" i="6"/>
  <c r="F168" i="3"/>
  <c r="E79" i="6"/>
  <c r="B80" i="6"/>
  <c r="F80" i="6"/>
  <c r="G80" i="6"/>
  <c r="C80" i="6"/>
  <c r="F169" i="3"/>
  <c r="E80" i="6"/>
  <c r="B81" i="6"/>
  <c r="F81" i="6"/>
  <c r="C81" i="6"/>
  <c r="F170" i="3"/>
  <c r="E81" i="6"/>
  <c r="B82" i="6"/>
  <c r="F82" i="6"/>
  <c r="C82" i="6"/>
  <c r="E82" i="6"/>
  <c r="B83" i="6"/>
  <c r="F83" i="6"/>
  <c r="C83" i="6"/>
  <c r="E83" i="6"/>
  <c r="I147" i="6"/>
  <c r="I148" i="6"/>
  <c r="I149" i="6"/>
  <c r="I150" i="6"/>
  <c r="I151"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J54" i="11"/>
  <c r="I186" i="6"/>
  <c r="I14" i="11"/>
  <c r="I146" i="6"/>
  <c r="J90" i="6"/>
  <c r="J91" i="6"/>
  <c r="J92" i="6"/>
  <c r="J93" i="6"/>
  <c r="J94" i="6"/>
  <c r="J95" i="6"/>
  <c r="J96"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53" i="12"/>
  <c r="J129" i="6"/>
  <c r="J130" i="6"/>
  <c r="J131" i="6"/>
  <c r="J132" i="6"/>
  <c r="J133" i="6"/>
  <c r="J89" i="6"/>
  <c r="R13" i="12"/>
  <c r="K13" i="12"/>
  <c r="K163" i="6"/>
  <c r="K167" i="6"/>
  <c r="K171" i="6"/>
  <c r="K175" i="6"/>
  <c r="K179" i="6"/>
  <c r="I15" i="11"/>
  <c r="I16" i="11"/>
  <c r="I17" i="11"/>
  <c r="I18" i="11"/>
  <c r="O18" i="11"/>
  <c r="I19" i="11"/>
  <c r="M53" i="3"/>
  <c r="I20" i="11"/>
  <c r="I152" i="6"/>
  <c r="I21" i="11"/>
  <c r="M55" i="3"/>
  <c r="I22" i="11"/>
  <c r="O22" i="11"/>
  <c r="I23" i="11"/>
  <c r="M57" i="3"/>
  <c r="I24" i="11"/>
  <c r="I25" i="11"/>
  <c r="O25" i="11"/>
  <c r="I26" i="11"/>
  <c r="O26" i="11"/>
  <c r="I27" i="11"/>
  <c r="M61" i="3"/>
  <c r="I28" i="11"/>
  <c r="I29" i="11"/>
  <c r="M63" i="3"/>
  <c r="I30" i="11"/>
  <c r="M64" i="3"/>
  <c r="I31" i="11"/>
  <c r="M65" i="3"/>
  <c r="I32" i="11"/>
  <c r="I33" i="11"/>
  <c r="M67" i="3"/>
  <c r="I34" i="11"/>
  <c r="M68" i="3"/>
  <c r="I35" i="11"/>
  <c r="M69" i="3"/>
  <c r="I36" i="11"/>
  <c r="I37" i="11"/>
  <c r="M71" i="3"/>
  <c r="I38" i="11"/>
  <c r="M72" i="3"/>
  <c r="I39" i="11"/>
  <c r="M73" i="3"/>
  <c r="I40" i="11"/>
  <c r="I41" i="11"/>
  <c r="M75" i="3"/>
  <c r="I42" i="11"/>
  <c r="M76" i="3"/>
  <c r="I43" i="11"/>
  <c r="M77" i="3"/>
  <c r="I44" i="11"/>
  <c r="I45" i="11"/>
  <c r="M79" i="3"/>
  <c r="I46" i="11"/>
  <c r="M80" i="3"/>
  <c r="I47" i="11"/>
  <c r="M81" i="3"/>
  <c r="I48" i="11"/>
  <c r="I49" i="11"/>
  <c r="M83" i="3"/>
  <c r="I50" i="11"/>
  <c r="M84" i="3"/>
  <c r="I51" i="11"/>
  <c r="M85" i="3"/>
  <c r="I52" i="11"/>
  <c r="I53" i="11"/>
  <c r="O53" i="11"/>
  <c r="I54" i="11"/>
  <c r="M50" i="3"/>
  <c r="I53" i="12"/>
  <c r="J97" i="6"/>
  <c r="U39" i="9"/>
  <c r="U40" i="9"/>
  <c r="U41" i="9"/>
  <c r="U42" i="9"/>
  <c r="U38" i="9"/>
  <c r="U29" i="9"/>
  <c r="U30" i="9"/>
  <c r="U31" i="9"/>
  <c r="U32" i="9"/>
  <c r="U28" i="9"/>
  <c r="F171" i="3"/>
  <c r="F172" i="3"/>
  <c r="F157" i="3"/>
  <c r="F158" i="3"/>
  <c r="A77" i="6"/>
  <c r="D77" i="6"/>
  <c r="A78" i="6"/>
  <c r="D78" i="6"/>
  <c r="A79" i="6"/>
  <c r="D79" i="6"/>
  <c r="A80" i="6"/>
  <c r="D80" i="6"/>
  <c r="A81" i="6"/>
  <c r="D81" i="6"/>
  <c r="A82" i="6"/>
  <c r="D82" i="6"/>
  <c r="A83" i="6"/>
  <c r="D83" i="6"/>
  <c r="A64" i="6"/>
  <c r="D64" i="6"/>
  <c r="A65" i="6"/>
  <c r="D65" i="6"/>
  <c r="A66" i="6"/>
  <c r="D66" i="6"/>
  <c r="A67" i="6"/>
  <c r="D67" i="6"/>
  <c r="A68" i="6"/>
  <c r="D68" i="6"/>
  <c r="A69" i="6"/>
  <c r="D69" i="6"/>
  <c r="A70" i="6"/>
  <c r="D70" i="6"/>
  <c r="I56" i="6"/>
  <c r="L136" i="6"/>
  <c r="I51" i="3"/>
  <c r="F17" i="11"/>
  <c r="E149" i="6"/>
  <c r="I48" i="3"/>
  <c r="F14" i="11"/>
  <c r="E146" i="6"/>
  <c r="I49" i="3"/>
  <c r="K49" i="3"/>
  <c r="U49" i="3"/>
  <c r="I50" i="3"/>
  <c r="K50" i="3"/>
  <c r="U50" i="3"/>
  <c r="I52" i="3"/>
  <c r="K52" i="3"/>
  <c r="U52" i="3"/>
  <c r="I53" i="3"/>
  <c r="K53" i="3"/>
  <c r="I54" i="3"/>
  <c r="K54" i="3"/>
  <c r="U54" i="3"/>
  <c r="I55" i="3"/>
  <c r="K55" i="3"/>
  <c r="U55" i="3"/>
  <c r="I56" i="3"/>
  <c r="K56" i="3"/>
  <c r="U56" i="3"/>
  <c r="I57" i="3"/>
  <c r="K57" i="3"/>
  <c r="I58" i="3"/>
  <c r="K58" i="3"/>
  <c r="U58" i="3"/>
  <c r="M59" i="3"/>
  <c r="I59" i="3"/>
  <c r="K59" i="3"/>
  <c r="U59" i="3"/>
  <c r="I60" i="3"/>
  <c r="K60" i="3"/>
  <c r="I61" i="3"/>
  <c r="K61" i="3"/>
  <c r="U61" i="3"/>
  <c r="I62" i="3"/>
  <c r="K62" i="3"/>
  <c r="I63" i="3"/>
  <c r="K63" i="3"/>
  <c r="U63" i="3"/>
  <c r="I64" i="3"/>
  <c r="K64" i="3"/>
  <c r="I65" i="3"/>
  <c r="K65" i="3"/>
  <c r="U65" i="3"/>
  <c r="I66" i="3"/>
  <c r="K66" i="3"/>
  <c r="I67" i="3"/>
  <c r="K67" i="3"/>
  <c r="U67" i="3"/>
  <c r="I68" i="3"/>
  <c r="K68" i="3"/>
  <c r="I69" i="3"/>
  <c r="K69" i="3"/>
  <c r="U69" i="3"/>
  <c r="I70" i="3"/>
  <c r="K70" i="3"/>
  <c r="I71" i="3"/>
  <c r="K71" i="3"/>
  <c r="U71" i="3"/>
  <c r="I72" i="3"/>
  <c r="K72" i="3"/>
  <c r="I73" i="3"/>
  <c r="K73" i="3"/>
  <c r="U73" i="3"/>
  <c r="I74" i="3"/>
  <c r="K74" i="3"/>
  <c r="I75" i="3"/>
  <c r="K75" i="3"/>
  <c r="U75" i="3"/>
  <c r="I76" i="3"/>
  <c r="K76" i="3"/>
  <c r="I77" i="3"/>
  <c r="K77" i="3"/>
  <c r="U77" i="3"/>
  <c r="I78" i="3"/>
  <c r="K78" i="3"/>
  <c r="I79" i="3"/>
  <c r="K79" i="3"/>
  <c r="U79" i="3"/>
  <c r="I80" i="3"/>
  <c r="K80" i="3"/>
  <c r="I81" i="3"/>
  <c r="K81" i="3"/>
  <c r="U81" i="3"/>
  <c r="I82" i="3"/>
  <c r="K82" i="3"/>
  <c r="I83" i="3"/>
  <c r="K83" i="3"/>
  <c r="U83" i="3"/>
  <c r="I84" i="3"/>
  <c r="K84" i="3"/>
  <c r="I85" i="3"/>
  <c r="K85" i="3"/>
  <c r="U85" i="3"/>
  <c r="I86" i="3"/>
  <c r="K86" i="3"/>
  <c r="I87" i="3"/>
  <c r="K87" i="3"/>
  <c r="U87" i="3"/>
  <c r="M94" i="3"/>
  <c r="I94" i="3"/>
  <c r="K94" i="3"/>
  <c r="AE94" i="3"/>
  <c r="M95" i="3"/>
  <c r="I95" i="3"/>
  <c r="K95" i="3"/>
  <c r="AE95" i="3"/>
  <c r="M96" i="3"/>
  <c r="I96" i="3"/>
  <c r="K96" i="3"/>
  <c r="AE96" i="3"/>
  <c r="M97" i="3"/>
  <c r="I97" i="3"/>
  <c r="K97" i="3"/>
  <c r="AE97" i="3"/>
  <c r="M98" i="3"/>
  <c r="I98" i="3"/>
  <c r="K98" i="3"/>
  <c r="AE98" i="3"/>
  <c r="M99" i="3"/>
  <c r="I99" i="3"/>
  <c r="K99" i="3"/>
  <c r="AE99" i="3"/>
  <c r="M100" i="3"/>
  <c r="I100" i="3"/>
  <c r="K100" i="3"/>
  <c r="AE100" i="3"/>
  <c r="M101" i="3"/>
  <c r="I101" i="3"/>
  <c r="K101" i="3"/>
  <c r="AE101" i="3"/>
  <c r="M102" i="3"/>
  <c r="I102" i="3"/>
  <c r="K102" i="3"/>
  <c r="AE102" i="3"/>
  <c r="M103" i="3"/>
  <c r="I103" i="3"/>
  <c r="K103" i="3"/>
  <c r="AE103" i="3"/>
  <c r="M104" i="3"/>
  <c r="I104" i="3"/>
  <c r="K104" i="3"/>
  <c r="AE104" i="3"/>
  <c r="M105" i="3"/>
  <c r="I105" i="3"/>
  <c r="K105" i="3"/>
  <c r="AE105" i="3"/>
  <c r="M106" i="3"/>
  <c r="I106" i="3"/>
  <c r="K106" i="3"/>
  <c r="AE106" i="3"/>
  <c r="M107" i="3"/>
  <c r="I107" i="3"/>
  <c r="K107" i="3"/>
  <c r="AE107" i="3"/>
  <c r="M108" i="3"/>
  <c r="I108" i="3"/>
  <c r="K108" i="3"/>
  <c r="AE108" i="3"/>
  <c r="M109" i="3"/>
  <c r="I109" i="3"/>
  <c r="K109" i="3"/>
  <c r="AE109" i="3"/>
  <c r="M110" i="3"/>
  <c r="I110" i="3"/>
  <c r="K110" i="3"/>
  <c r="AE110" i="3"/>
  <c r="M111" i="3"/>
  <c r="I111" i="3"/>
  <c r="K111" i="3"/>
  <c r="AE111" i="3"/>
  <c r="M112" i="3"/>
  <c r="I112" i="3"/>
  <c r="K112" i="3"/>
  <c r="AE112" i="3"/>
  <c r="M113" i="3"/>
  <c r="I113" i="3"/>
  <c r="K113" i="3"/>
  <c r="AE113" i="3"/>
  <c r="M114" i="3"/>
  <c r="I114" i="3"/>
  <c r="K114" i="3"/>
  <c r="AE114" i="3"/>
  <c r="M115" i="3"/>
  <c r="I115" i="3"/>
  <c r="K115" i="3"/>
  <c r="AE115" i="3"/>
  <c r="M116" i="3"/>
  <c r="I116" i="3"/>
  <c r="K116" i="3"/>
  <c r="AE116" i="3"/>
  <c r="M117" i="3"/>
  <c r="I117" i="3"/>
  <c r="K117" i="3"/>
  <c r="AE117" i="3"/>
  <c r="M118" i="3"/>
  <c r="I118" i="3"/>
  <c r="K118" i="3"/>
  <c r="AE118" i="3"/>
  <c r="M119" i="3"/>
  <c r="I119" i="3"/>
  <c r="K119" i="3"/>
  <c r="AE119" i="3"/>
  <c r="M120" i="3"/>
  <c r="I120" i="3"/>
  <c r="K120" i="3"/>
  <c r="AE120" i="3"/>
  <c r="M121" i="3"/>
  <c r="I121" i="3"/>
  <c r="K121" i="3"/>
  <c r="AE121" i="3"/>
  <c r="M122" i="3"/>
  <c r="I122" i="3"/>
  <c r="K122" i="3"/>
  <c r="AE122" i="3"/>
  <c r="M123" i="3"/>
  <c r="I123" i="3"/>
  <c r="K123" i="3"/>
  <c r="AE123" i="3"/>
  <c r="M124" i="3"/>
  <c r="I124" i="3"/>
  <c r="K124" i="3"/>
  <c r="AE124" i="3"/>
  <c r="M125" i="3"/>
  <c r="I125" i="3"/>
  <c r="K125" i="3"/>
  <c r="AE125" i="3"/>
  <c r="M126" i="3"/>
  <c r="I126" i="3"/>
  <c r="K126" i="3"/>
  <c r="AE126" i="3"/>
  <c r="M127" i="3"/>
  <c r="I127" i="3"/>
  <c r="K127" i="3"/>
  <c r="AE127" i="3"/>
  <c r="M128" i="3"/>
  <c r="I128" i="3"/>
  <c r="K128" i="3"/>
  <c r="AE128" i="3"/>
  <c r="M129" i="3"/>
  <c r="I129" i="3"/>
  <c r="K129" i="3"/>
  <c r="AE129" i="3"/>
  <c r="M130" i="3"/>
  <c r="I130" i="3"/>
  <c r="K130" i="3"/>
  <c r="AE130" i="3"/>
  <c r="M131" i="3"/>
  <c r="I131" i="3"/>
  <c r="K131" i="3"/>
  <c r="AE131" i="3"/>
  <c r="M132" i="3"/>
  <c r="I132" i="3"/>
  <c r="K132" i="3"/>
  <c r="AE132" i="3"/>
  <c r="M133" i="3"/>
  <c r="I133" i="3"/>
  <c r="K133" i="3"/>
  <c r="AE13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M139" i="3"/>
  <c r="I139" i="3"/>
  <c r="K139" i="3"/>
  <c r="AB139" i="3"/>
  <c r="M140" i="3"/>
  <c r="I140" i="3"/>
  <c r="K140" i="3"/>
  <c r="AB140" i="3"/>
  <c r="M141" i="3"/>
  <c r="I141" i="3"/>
  <c r="K141" i="3"/>
  <c r="AB141" i="3"/>
  <c r="M142" i="3"/>
  <c r="I142" i="3"/>
  <c r="K142" i="3"/>
  <c r="AB142" i="3"/>
  <c r="M143" i="3"/>
  <c r="I143" i="3"/>
  <c r="K143" i="3"/>
  <c r="AB143" i="3"/>
  <c r="M144" i="3"/>
  <c r="I144" i="3"/>
  <c r="K144" i="3"/>
  <c r="AB144"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9" i="3"/>
  <c r="AC140" i="3"/>
  <c r="AC141" i="3"/>
  <c r="AC142" i="3"/>
  <c r="AC143" i="3"/>
  <c r="AC144"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9" i="3"/>
  <c r="AD140" i="3"/>
  <c r="AD141" i="3"/>
  <c r="AD142" i="3"/>
  <c r="AD143" i="3"/>
  <c r="AD144"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9" i="3"/>
  <c r="AA140" i="3"/>
  <c r="AA141" i="3"/>
  <c r="AA142" i="3"/>
  <c r="AA143" i="3"/>
  <c r="AA144" i="3"/>
  <c r="E40" i="3"/>
  <c r="D40" i="3"/>
  <c r="F159" i="3"/>
  <c r="F173" i="3"/>
  <c r="E173" i="3"/>
  <c r="E159" i="3"/>
  <c r="D14" i="6"/>
  <c r="B37" i="6"/>
  <c r="C37" i="6"/>
  <c r="C38" i="6"/>
  <c r="D13" i="6"/>
  <c r="C14" i="5"/>
  <c r="D14" i="5"/>
  <c r="E29" i="1"/>
  <c r="E30" i="1"/>
  <c r="K50" i="9"/>
  <c r="G146" i="6"/>
  <c r="K146" i="6"/>
  <c r="D146" i="6"/>
  <c r="E14" i="11"/>
  <c r="F146" i="6"/>
  <c r="H146" i="6"/>
  <c r="G147" i="6"/>
  <c r="M147" i="6"/>
  <c r="K147" i="6"/>
  <c r="D147" i="6"/>
  <c r="E15" i="11"/>
  <c r="F147" i="6"/>
  <c r="H147" i="6"/>
  <c r="G148" i="6"/>
  <c r="K148" i="6"/>
  <c r="D148" i="6"/>
  <c r="E16" i="11"/>
  <c r="F148" i="6"/>
  <c r="H148" i="6"/>
  <c r="G149" i="6"/>
  <c r="K149" i="6"/>
  <c r="D149" i="6"/>
  <c r="E17" i="11"/>
  <c r="F149" i="6"/>
  <c r="G150" i="6"/>
  <c r="M150" i="6"/>
  <c r="K150" i="6"/>
  <c r="D150" i="6"/>
  <c r="E18" i="11"/>
  <c r="F150" i="6"/>
  <c r="H150" i="6"/>
  <c r="G151" i="6"/>
  <c r="M151" i="6"/>
  <c r="K151" i="6"/>
  <c r="D151" i="6"/>
  <c r="E19" i="11"/>
  <c r="F151" i="6"/>
  <c r="H151" i="6"/>
  <c r="G152" i="6"/>
  <c r="E20" i="11"/>
  <c r="F152" i="6"/>
  <c r="H152" i="6"/>
  <c r="G153" i="6"/>
  <c r="K153" i="6"/>
  <c r="E21" i="11"/>
  <c r="F153" i="6"/>
  <c r="H153" i="6"/>
  <c r="G154" i="6"/>
  <c r="K154" i="6"/>
  <c r="E22" i="11"/>
  <c r="F154" i="6"/>
  <c r="H154" i="6"/>
  <c r="G155" i="6"/>
  <c r="M155" i="6"/>
  <c r="K155" i="6"/>
  <c r="E23" i="11"/>
  <c r="F155" i="6"/>
  <c r="H155" i="6"/>
  <c r="G156" i="6"/>
  <c r="M156" i="6"/>
  <c r="K156" i="6"/>
  <c r="E24" i="11"/>
  <c r="F156" i="6"/>
  <c r="H156" i="6"/>
  <c r="G157" i="6"/>
  <c r="K157" i="6"/>
  <c r="E25" i="11"/>
  <c r="F157" i="6"/>
  <c r="H157" i="6"/>
  <c r="G158" i="6"/>
  <c r="K158" i="6"/>
  <c r="E26" i="11"/>
  <c r="F158" i="6"/>
  <c r="H158" i="6"/>
  <c r="G159" i="6"/>
  <c r="M159" i="6"/>
  <c r="K159" i="6"/>
  <c r="E27" i="11"/>
  <c r="F159" i="6"/>
  <c r="H159" i="6"/>
  <c r="G160" i="6"/>
  <c r="M160" i="6"/>
  <c r="K160" i="6"/>
  <c r="E28" i="11"/>
  <c r="F160" i="6"/>
  <c r="H160" i="6"/>
  <c r="G161" i="6"/>
  <c r="K161" i="6"/>
  <c r="E29" i="11"/>
  <c r="F161" i="6"/>
  <c r="H161" i="6"/>
  <c r="G162" i="6"/>
  <c r="K162" i="6"/>
  <c r="E30" i="11"/>
  <c r="F162" i="6"/>
  <c r="H162" i="6"/>
  <c r="G163" i="6"/>
  <c r="M163" i="6"/>
  <c r="E31" i="11"/>
  <c r="F163" i="6"/>
  <c r="H163" i="6"/>
  <c r="G164" i="6"/>
  <c r="M164" i="6"/>
  <c r="K164" i="6"/>
  <c r="E32" i="11"/>
  <c r="F164" i="6"/>
  <c r="H164" i="6"/>
  <c r="G165" i="6"/>
  <c r="K165" i="6"/>
  <c r="E33" i="11"/>
  <c r="F165" i="6"/>
  <c r="H165" i="6"/>
  <c r="G166" i="6"/>
  <c r="M166" i="6"/>
  <c r="K166" i="6"/>
  <c r="E34" i="11"/>
  <c r="F166" i="6"/>
  <c r="H166" i="6"/>
  <c r="G167" i="6"/>
  <c r="M167" i="6"/>
  <c r="E35" i="11"/>
  <c r="F167" i="6"/>
  <c r="H167" i="6"/>
  <c r="G168" i="6"/>
  <c r="K168" i="6"/>
  <c r="E36" i="11"/>
  <c r="F168" i="6"/>
  <c r="H168" i="6"/>
  <c r="G169" i="6"/>
  <c r="M169" i="6"/>
  <c r="K169" i="6"/>
  <c r="E37" i="11"/>
  <c r="F169" i="6"/>
  <c r="H169" i="6"/>
  <c r="G170" i="6"/>
  <c r="M170" i="6"/>
  <c r="K170" i="6"/>
  <c r="E38" i="11"/>
  <c r="F170" i="6"/>
  <c r="H170" i="6"/>
  <c r="G171" i="6"/>
  <c r="M171" i="6"/>
  <c r="E39" i="11"/>
  <c r="F171" i="6"/>
  <c r="H171" i="6"/>
  <c r="G172" i="6"/>
  <c r="M172" i="6"/>
  <c r="K172" i="6"/>
  <c r="E40" i="11"/>
  <c r="F172" i="6"/>
  <c r="H172" i="6"/>
  <c r="G173" i="6"/>
  <c r="K173" i="6"/>
  <c r="E41" i="11"/>
  <c r="F173" i="6"/>
  <c r="H173" i="6"/>
  <c r="G174" i="6"/>
  <c r="M174" i="6"/>
  <c r="K174" i="6"/>
  <c r="E42" i="11"/>
  <c r="F174" i="6"/>
  <c r="H174" i="6"/>
  <c r="G175" i="6"/>
  <c r="M175" i="6"/>
  <c r="E43" i="11"/>
  <c r="F175" i="6"/>
  <c r="H175" i="6"/>
  <c r="G176" i="6"/>
  <c r="K176" i="6"/>
  <c r="E44" i="11"/>
  <c r="F176" i="6"/>
  <c r="H176" i="6"/>
  <c r="G177" i="6"/>
  <c r="M177" i="6"/>
  <c r="K177" i="6"/>
  <c r="E45" i="11"/>
  <c r="F177" i="6"/>
  <c r="H177" i="6"/>
  <c r="G178" i="6"/>
  <c r="K178" i="6"/>
  <c r="E46" i="11"/>
  <c r="F178" i="6"/>
  <c r="H178" i="6"/>
  <c r="G179" i="6"/>
  <c r="E47" i="11"/>
  <c r="F179" i="6"/>
  <c r="H179" i="6"/>
  <c r="G180" i="6"/>
  <c r="K180" i="6"/>
  <c r="E48" i="11"/>
  <c r="F180" i="6"/>
  <c r="H180" i="6"/>
  <c r="G181" i="6"/>
  <c r="M181" i="6"/>
  <c r="K181" i="6"/>
  <c r="E49" i="11"/>
  <c r="F181" i="6"/>
  <c r="H181" i="6"/>
  <c r="G182" i="6"/>
  <c r="M182" i="6"/>
  <c r="K182" i="6"/>
  <c r="E50" i="11"/>
  <c r="F182" i="6"/>
  <c r="H182" i="6"/>
  <c r="G183" i="6"/>
  <c r="M183" i="6"/>
  <c r="K183" i="6"/>
  <c r="E51" i="11"/>
  <c r="F183" i="6"/>
  <c r="H183" i="6"/>
  <c r="G184" i="6"/>
  <c r="M184" i="6"/>
  <c r="K184" i="6"/>
  <c r="E52" i="11"/>
  <c r="F184" i="6"/>
  <c r="H184" i="6"/>
  <c r="G185" i="6"/>
  <c r="K185" i="6"/>
  <c r="E53" i="11"/>
  <c r="F185" i="6"/>
  <c r="H185" i="6"/>
  <c r="F15" i="11"/>
  <c r="E147" i="6"/>
  <c r="F16" i="11"/>
  <c r="E148" i="6"/>
  <c r="F18" i="11"/>
  <c r="F19" i="11"/>
  <c r="E151" i="6"/>
  <c r="F20" i="11"/>
  <c r="F21" i="11"/>
  <c r="E153" i="6"/>
  <c r="F22" i="11"/>
  <c r="F23" i="11"/>
  <c r="E155" i="6"/>
  <c r="F24" i="11"/>
  <c r="F25" i="11"/>
  <c r="E157" i="6"/>
  <c r="F26" i="11"/>
  <c r="F28" i="11"/>
  <c r="F29" i="11"/>
  <c r="E161" i="6"/>
  <c r="F30" i="11"/>
  <c r="F32" i="11"/>
  <c r="F33" i="11"/>
  <c r="E165" i="6"/>
  <c r="F34" i="11"/>
  <c r="F36" i="11"/>
  <c r="F37" i="11"/>
  <c r="E169" i="6"/>
  <c r="F38" i="11"/>
  <c r="F40" i="11"/>
  <c r="F41" i="11"/>
  <c r="E173" i="6"/>
  <c r="F42" i="11"/>
  <c r="F44" i="11"/>
  <c r="F45" i="11"/>
  <c r="E177" i="6"/>
  <c r="F46" i="11"/>
  <c r="F48" i="11"/>
  <c r="E180" i="6"/>
  <c r="F49" i="11"/>
  <c r="E181" i="6"/>
  <c r="F50" i="11"/>
  <c r="E182" i="6"/>
  <c r="F52" i="11"/>
  <c r="F53" i="11"/>
  <c r="E185" i="6"/>
  <c r="E150" i="6"/>
  <c r="E152" i="6"/>
  <c r="E154" i="6"/>
  <c r="E156" i="6"/>
  <c r="E158" i="6"/>
  <c r="E160" i="6"/>
  <c r="E162" i="6"/>
  <c r="E164" i="6"/>
  <c r="E166" i="6"/>
  <c r="E168" i="6"/>
  <c r="E170" i="6"/>
  <c r="E172" i="6"/>
  <c r="E174" i="6"/>
  <c r="E176" i="6"/>
  <c r="E178" i="6"/>
  <c r="E184" i="6"/>
  <c r="D152" i="6"/>
  <c r="D153" i="6"/>
  <c r="D154" i="6"/>
  <c r="D155" i="6"/>
  <c r="D156"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57" i="6"/>
  <c r="G14" i="11"/>
  <c r="C146" i="6"/>
  <c r="G15" i="11"/>
  <c r="C147" i="6"/>
  <c r="G16" i="11"/>
  <c r="C148" i="6"/>
  <c r="G17" i="11"/>
  <c r="C149" i="6"/>
  <c r="G18" i="11"/>
  <c r="C150" i="6"/>
  <c r="G19" i="11"/>
  <c r="C151" i="6"/>
  <c r="G20" i="11"/>
  <c r="C152" i="6"/>
  <c r="G21" i="11"/>
  <c r="C153" i="6"/>
  <c r="G22" i="11"/>
  <c r="C154" i="6"/>
  <c r="G23" i="11"/>
  <c r="C155" i="6"/>
  <c r="G24" i="11"/>
  <c r="C156" i="6"/>
  <c r="G25" i="11"/>
  <c r="C157" i="6"/>
  <c r="G26" i="11"/>
  <c r="C158" i="6"/>
  <c r="G27" i="11"/>
  <c r="C159" i="6"/>
  <c r="G28" i="11"/>
  <c r="C160" i="6"/>
  <c r="G29" i="11"/>
  <c r="C161" i="6"/>
  <c r="G30" i="11"/>
  <c r="C162" i="6"/>
  <c r="G31" i="11"/>
  <c r="C163" i="6"/>
  <c r="G32" i="11"/>
  <c r="C164" i="6"/>
  <c r="G33" i="11"/>
  <c r="C165" i="6"/>
  <c r="G34" i="11"/>
  <c r="C166" i="6"/>
  <c r="G35" i="11"/>
  <c r="C167" i="6"/>
  <c r="G36" i="11"/>
  <c r="C168" i="6"/>
  <c r="G37" i="11"/>
  <c r="C169" i="6"/>
  <c r="G38" i="11"/>
  <c r="C170" i="6"/>
  <c r="G39" i="11"/>
  <c r="C171" i="6"/>
  <c r="G40" i="11"/>
  <c r="C172" i="6"/>
  <c r="G41" i="11"/>
  <c r="C173" i="6"/>
  <c r="G42" i="11"/>
  <c r="C174" i="6"/>
  <c r="G43" i="11"/>
  <c r="C175" i="6"/>
  <c r="G44" i="11"/>
  <c r="C176" i="6"/>
  <c r="G45" i="11"/>
  <c r="C177" i="6"/>
  <c r="G46" i="11"/>
  <c r="C178" i="6"/>
  <c r="G47" i="11"/>
  <c r="C179" i="6"/>
  <c r="G48" i="11"/>
  <c r="C180" i="6"/>
  <c r="G49" i="11"/>
  <c r="C181" i="6"/>
  <c r="G50" i="11"/>
  <c r="C182" i="6"/>
  <c r="G51" i="11"/>
  <c r="C183" i="6"/>
  <c r="G52" i="11"/>
  <c r="C184" i="6"/>
  <c r="G53" i="11"/>
  <c r="C185" i="6"/>
  <c r="B14" i="11"/>
  <c r="A146" i="6"/>
  <c r="C14" i="11"/>
  <c r="B146" i="6"/>
  <c r="B15" i="11"/>
  <c r="A147" i="6"/>
  <c r="C15" i="11"/>
  <c r="B147" i="6"/>
  <c r="B16" i="11"/>
  <c r="A148" i="6"/>
  <c r="C16" i="11"/>
  <c r="B148" i="6"/>
  <c r="B17" i="11"/>
  <c r="A149" i="6"/>
  <c r="C17" i="11"/>
  <c r="B149" i="6"/>
  <c r="B18" i="11"/>
  <c r="A150" i="6"/>
  <c r="C18" i="11"/>
  <c r="B150" i="6"/>
  <c r="B19" i="11"/>
  <c r="A151" i="6"/>
  <c r="C19" i="11"/>
  <c r="B151" i="6"/>
  <c r="B20" i="11"/>
  <c r="A152" i="6"/>
  <c r="C20" i="11"/>
  <c r="B152" i="6"/>
  <c r="B21" i="11"/>
  <c r="A153" i="6"/>
  <c r="C21" i="11"/>
  <c r="B153" i="6"/>
  <c r="B22" i="11"/>
  <c r="A154" i="6"/>
  <c r="C22" i="11"/>
  <c r="B154" i="6"/>
  <c r="B23" i="11"/>
  <c r="A155" i="6"/>
  <c r="C23" i="11"/>
  <c r="B155" i="6"/>
  <c r="B24" i="11"/>
  <c r="A156" i="6"/>
  <c r="C24" i="11"/>
  <c r="B156" i="6"/>
  <c r="B25" i="11"/>
  <c r="A157" i="6"/>
  <c r="C25" i="11"/>
  <c r="B157" i="6"/>
  <c r="B26" i="11"/>
  <c r="A158" i="6"/>
  <c r="C26" i="11"/>
  <c r="B158" i="6"/>
  <c r="B27" i="11"/>
  <c r="A159" i="6"/>
  <c r="C27" i="11"/>
  <c r="B159" i="6"/>
  <c r="B28" i="11"/>
  <c r="A160" i="6"/>
  <c r="C28" i="11"/>
  <c r="B160" i="6"/>
  <c r="B29" i="11"/>
  <c r="A161" i="6"/>
  <c r="C29" i="11"/>
  <c r="B161" i="6"/>
  <c r="B30" i="11"/>
  <c r="A162" i="6"/>
  <c r="C30" i="11"/>
  <c r="B162" i="6"/>
  <c r="B31" i="11"/>
  <c r="A163" i="6"/>
  <c r="C31" i="11"/>
  <c r="B163" i="6"/>
  <c r="B32" i="11"/>
  <c r="A164" i="6"/>
  <c r="C32" i="11"/>
  <c r="B164" i="6"/>
  <c r="B33" i="11"/>
  <c r="A165" i="6"/>
  <c r="C33" i="11"/>
  <c r="B165" i="6"/>
  <c r="B34" i="11"/>
  <c r="A166" i="6"/>
  <c r="C34" i="11"/>
  <c r="B166" i="6"/>
  <c r="B35" i="11"/>
  <c r="A167" i="6"/>
  <c r="C35" i="11"/>
  <c r="B167" i="6"/>
  <c r="B36" i="11"/>
  <c r="A168" i="6"/>
  <c r="C36" i="11"/>
  <c r="B168" i="6"/>
  <c r="B37" i="11"/>
  <c r="A169" i="6"/>
  <c r="C37" i="11"/>
  <c r="B169" i="6"/>
  <c r="B38" i="11"/>
  <c r="A170" i="6"/>
  <c r="C38" i="11"/>
  <c r="B170" i="6"/>
  <c r="B39" i="11"/>
  <c r="A171" i="6"/>
  <c r="C39" i="11"/>
  <c r="B171" i="6"/>
  <c r="B40" i="11"/>
  <c r="A172" i="6"/>
  <c r="C40" i="11"/>
  <c r="B172" i="6"/>
  <c r="B41" i="11"/>
  <c r="A173" i="6"/>
  <c r="C41" i="11"/>
  <c r="B173" i="6"/>
  <c r="B42" i="11"/>
  <c r="A174" i="6"/>
  <c r="C42" i="11"/>
  <c r="B174" i="6"/>
  <c r="B43" i="11"/>
  <c r="A175" i="6"/>
  <c r="C43" i="11"/>
  <c r="B175" i="6"/>
  <c r="B44" i="11"/>
  <c r="A176" i="6"/>
  <c r="C44" i="11"/>
  <c r="B176" i="6"/>
  <c r="B45" i="11"/>
  <c r="A177" i="6"/>
  <c r="C45" i="11"/>
  <c r="B177" i="6"/>
  <c r="B46" i="11"/>
  <c r="A178" i="6"/>
  <c r="C46" i="11"/>
  <c r="B178" i="6"/>
  <c r="B47" i="11"/>
  <c r="A179" i="6"/>
  <c r="C47" i="11"/>
  <c r="B179" i="6"/>
  <c r="B48" i="11"/>
  <c r="A180" i="6"/>
  <c r="C48" i="11"/>
  <c r="B180" i="6"/>
  <c r="B49" i="11"/>
  <c r="A181" i="6"/>
  <c r="C49" i="11"/>
  <c r="B181" i="6"/>
  <c r="B50" i="11"/>
  <c r="A182" i="6"/>
  <c r="C50" i="11"/>
  <c r="B182" i="6"/>
  <c r="B51" i="11"/>
  <c r="A183" i="6"/>
  <c r="C51" i="11"/>
  <c r="B183" i="6"/>
  <c r="B52" i="11"/>
  <c r="A184" i="6"/>
  <c r="C52" i="11"/>
  <c r="B184" i="6"/>
  <c r="B53" i="11"/>
  <c r="A185" i="6"/>
  <c r="C53" i="11"/>
  <c r="B185" i="6"/>
  <c r="R14" i="12"/>
  <c r="K14" i="12"/>
  <c r="L90" i="6"/>
  <c r="R15" i="12"/>
  <c r="K15" i="12"/>
  <c r="L91" i="6"/>
  <c r="R16" i="12"/>
  <c r="K16" i="12"/>
  <c r="L92" i="6"/>
  <c r="R17" i="12"/>
  <c r="L93" i="6"/>
  <c r="R18" i="12"/>
  <c r="L94" i="6"/>
  <c r="R19" i="12"/>
  <c r="L95" i="6"/>
  <c r="R20" i="12"/>
  <c r="L96" i="6"/>
  <c r="R21" i="12"/>
  <c r="L97" i="6"/>
  <c r="R22" i="12"/>
  <c r="L98" i="6"/>
  <c r="R23" i="12"/>
  <c r="L99" i="6"/>
  <c r="R24" i="12"/>
  <c r="L100" i="6"/>
  <c r="R25" i="12"/>
  <c r="L101" i="6"/>
  <c r="R26" i="12"/>
  <c r="L102" i="6"/>
  <c r="R27" i="12"/>
  <c r="L103" i="6"/>
  <c r="R28" i="12"/>
  <c r="L104" i="6"/>
  <c r="R29" i="12"/>
  <c r="L105" i="6"/>
  <c r="R30" i="12"/>
  <c r="L106" i="6"/>
  <c r="R31" i="12"/>
  <c r="L107" i="6"/>
  <c r="R32" i="12"/>
  <c r="L108" i="6"/>
  <c r="R33" i="12"/>
  <c r="L109" i="6"/>
  <c r="R34" i="12"/>
  <c r="L110" i="6"/>
  <c r="R35" i="12"/>
  <c r="L111" i="6"/>
  <c r="R36" i="12"/>
  <c r="L112" i="6"/>
  <c r="R37" i="12"/>
  <c r="L113" i="6"/>
  <c r="R38" i="12"/>
  <c r="L114" i="6"/>
  <c r="R39" i="12"/>
  <c r="L115" i="6"/>
  <c r="R40" i="12"/>
  <c r="L116" i="6"/>
  <c r="R41" i="12"/>
  <c r="L117" i="6"/>
  <c r="R42" i="12"/>
  <c r="L118" i="6"/>
  <c r="R43" i="12"/>
  <c r="L119" i="6"/>
  <c r="R44" i="12"/>
  <c r="L120" i="6"/>
  <c r="R45" i="12"/>
  <c r="L121" i="6"/>
  <c r="R46" i="12"/>
  <c r="L122" i="6"/>
  <c r="R47" i="12"/>
  <c r="L123" i="6"/>
  <c r="R48" i="12"/>
  <c r="L124" i="6"/>
  <c r="R49" i="12"/>
  <c r="L125" i="6"/>
  <c r="R50" i="12"/>
  <c r="L126" i="6"/>
  <c r="R51" i="12"/>
  <c r="K51" i="12"/>
  <c r="L127" i="6"/>
  <c r="R52" i="12"/>
  <c r="L128" i="6"/>
  <c r="L129" i="6"/>
  <c r="L130" i="6"/>
  <c r="L131" i="6"/>
  <c r="L132" i="6"/>
  <c r="L133"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E13" i="12"/>
  <c r="D89" i="6"/>
  <c r="E14" i="12"/>
  <c r="D90" i="6"/>
  <c r="B13" i="12"/>
  <c r="A89" i="6"/>
  <c r="C13" i="12"/>
  <c r="B89" i="6"/>
  <c r="F13" i="12"/>
  <c r="E89" i="6"/>
  <c r="B14" i="12"/>
  <c r="A90" i="6"/>
  <c r="C14" i="12"/>
  <c r="B90" i="6"/>
  <c r="D14" i="12"/>
  <c r="C90" i="6"/>
  <c r="F14" i="12"/>
  <c r="E90" i="6"/>
  <c r="B15" i="12"/>
  <c r="A91" i="6"/>
  <c r="C15" i="12"/>
  <c r="B91" i="6"/>
  <c r="D15" i="12"/>
  <c r="C91" i="6"/>
  <c r="E15" i="12"/>
  <c r="D91" i="6"/>
  <c r="F15" i="12"/>
  <c r="E91" i="6"/>
  <c r="B16" i="12"/>
  <c r="A92" i="6"/>
  <c r="C16" i="12"/>
  <c r="B92" i="6"/>
  <c r="E16" i="12"/>
  <c r="D92" i="6"/>
  <c r="F16" i="12"/>
  <c r="E92" i="6"/>
  <c r="B17" i="12"/>
  <c r="A93" i="6"/>
  <c r="C17" i="12"/>
  <c r="B93" i="6"/>
  <c r="D17" i="12"/>
  <c r="C93" i="6"/>
  <c r="E17" i="12"/>
  <c r="D93" i="6"/>
  <c r="F17" i="12"/>
  <c r="E93" i="6"/>
  <c r="B18" i="12"/>
  <c r="A94" i="6"/>
  <c r="C18" i="12"/>
  <c r="B94" i="6"/>
  <c r="D18" i="12"/>
  <c r="C94" i="6"/>
  <c r="E18" i="12"/>
  <c r="D94" i="6"/>
  <c r="F18" i="12"/>
  <c r="E94" i="6"/>
  <c r="B19" i="12"/>
  <c r="A95" i="6"/>
  <c r="C19" i="12"/>
  <c r="B95" i="6"/>
  <c r="D19" i="12"/>
  <c r="C95" i="6"/>
  <c r="E19" i="12"/>
  <c r="D95" i="6"/>
  <c r="F19" i="12"/>
  <c r="E95" i="6"/>
  <c r="B20" i="12"/>
  <c r="A96" i="6"/>
  <c r="C20" i="12"/>
  <c r="B96" i="6"/>
  <c r="D20" i="12"/>
  <c r="C96" i="6"/>
  <c r="E20" i="12"/>
  <c r="D96" i="6"/>
  <c r="F20" i="12"/>
  <c r="E96" i="6"/>
  <c r="B21" i="12"/>
  <c r="A97" i="6"/>
  <c r="C21" i="12"/>
  <c r="B97" i="6"/>
  <c r="D21" i="12"/>
  <c r="C97" i="6"/>
  <c r="E21" i="12"/>
  <c r="D97" i="6"/>
  <c r="F21" i="12"/>
  <c r="E97" i="6"/>
  <c r="B22" i="12"/>
  <c r="A98" i="6"/>
  <c r="C22" i="12"/>
  <c r="B98" i="6"/>
  <c r="D22" i="12"/>
  <c r="C98" i="6"/>
  <c r="E22" i="12"/>
  <c r="D98" i="6"/>
  <c r="F22" i="12"/>
  <c r="E98" i="6"/>
  <c r="B23" i="12"/>
  <c r="A99" i="6"/>
  <c r="C23" i="12"/>
  <c r="B99" i="6"/>
  <c r="D23" i="12"/>
  <c r="C99" i="6"/>
  <c r="E23" i="12"/>
  <c r="D99" i="6"/>
  <c r="F23" i="12"/>
  <c r="E99" i="6"/>
  <c r="B24" i="12"/>
  <c r="A100" i="6"/>
  <c r="C24" i="12"/>
  <c r="B100" i="6"/>
  <c r="E24" i="12"/>
  <c r="D100" i="6"/>
  <c r="F24" i="12"/>
  <c r="E100" i="6"/>
  <c r="B25" i="12"/>
  <c r="A101" i="6"/>
  <c r="C25" i="12"/>
  <c r="B101" i="6"/>
  <c r="D25" i="12"/>
  <c r="C101" i="6"/>
  <c r="E25" i="12"/>
  <c r="D101" i="6"/>
  <c r="F25" i="12"/>
  <c r="E101" i="6"/>
  <c r="B26" i="12"/>
  <c r="A102" i="6"/>
  <c r="C26" i="12"/>
  <c r="B102" i="6"/>
  <c r="E26" i="12"/>
  <c r="D102" i="6"/>
  <c r="F26" i="12"/>
  <c r="E102" i="6"/>
  <c r="B27" i="12"/>
  <c r="A103" i="6"/>
  <c r="C27" i="12"/>
  <c r="B103" i="6"/>
  <c r="D27" i="12"/>
  <c r="C103" i="6"/>
  <c r="E27" i="12"/>
  <c r="D103" i="6"/>
  <c r="F27" i="12"/>
  <c r="E103" i="6"/>
  <c r="B28" i="12"/>
  <c r="A104" i="6"/>
  <c r="C28" i="12"/>
  <c r="B104" i="6"/>
  <c r="D28" i="12"/>
  <c r="C104" i="6"/>
  <c r="E28" i="12"/>
  <c r="D104" i="6"/>
  <c r="F28" i="12"/>
  <c r="E104" i="6"/>
  <c r="B29" i="12"/>
  <c r="A105" i="6"/>
  <c r="C29" i="12"/>
  <c r="B105" i="6"/>
  <c r="D29" i="12"/>
  <c r="C105" i="6"/>
  <c r="E29" i="12"/>
  <c r="D105" i="6"/>
  <c r="F29" i="12"/>
  <c r="E105" i="6"/>
  <c r="B30" i="12"/>
  <c r="A106" i="6"/>
  <c r="C30" i="12"/>
  <c r="B106" i="6"/>
  <c r="D30" i="12"/>
  <c r="C106" i="6"/>
  <c r="E30" i="12"/>
  <c r="D106" i="6"/>
  <c r="F30" i="12"/>
  <c r="E106" i="6"/>
  <c r="B31" i="12"/>
  <c r="A107" i="6"/>
  <c r="C31" i="12"/>
  <c r="B107" i="6"/>
  <c r="D31" i="12"/>
  <c r="C107" i="6"/>
  <c r="E31" i="12"/>
  <c r="D107" i="6"/>
  <c r="F31" i="12"/>
  <c r="E107" i="6"/>
  <c r="B32" i="12"/>
  <c r="A108" i="6"/>
  <c r="C32" i="12"/>
  <c r="B108" i="6"/>
  <c r="D32" i="12"/>
  <c r="C108" i="6"/>
  <c r="E32" i="12"/>
  <c r="D108" i="6"/>
  <c r="F32" i="12"/>
  <c r="E108" i="6"/>
  <c r="B33" i="12"/>
  <c r="A109" i="6"/>
  <c r="C33" i="12"/>
  <c r="B109" i="6"/>
  <c r="D33" i="12"/>
  <c r="C109" i="6"/>
  <c r="E33" i="12"/>
  <c r="D109" i="6"/>
  <c r="F33" i="12"/>
  <c r="E109" i="6"/>
  <c r="B34" i="12"/>
  <c r="A110" i="6"/>
  <c r="C34" i="12"/>
  <c r="B110" i="6"/>
  <c r="E34" i="12"/>
  <c r="D110" i="6"/>
  <c r="F34" i="12"/>
  <c r="E110" i="6"/>
  <c r="B35" i="12"/>
  <c r="A111" i="6"/>
  <c r="C35" i="12"/>
  <c r="B111" i="6"/>
  <c r="D35" i="12"/>
  <c r="C111" i="6"/>
  <c r="E35" i="12"/>
  <c r="D111" i="6"/>
  <c r="F35" i="12"/>
  <c r="E111" i="6"/>
  <c r="B36" i="12"/>
  <c r="A112" i="6"/>
  <c r="C36" i="12"/>
  <c r="B112" i="6"/>
  <c r="E36" i="12"/>
  <c r="D112" i="6"/>
  <c r="F36" i="12"/>
  <c r="E112" i="6"/>
  <c r="B37" i="12"/>
  <c r="A113" i="6"/>
  <c r="C37" i="12"/>
  <c r="B113" i="6"/>
  <c r="D37" i="12"/>
  <c r="C113" i="6"/>
  <c r="E37" i="12"/>
  <c r="D113" i="6"/>
  <c r="F37" i="12"/>
  <c r="E113" i="6"/>
  <c r="B38" i="12"/>
  <c r="A114" i="6"/>
  <c r="C38" i="12"/>
  <c r="B114" i="6"/>
  <c r="E38" i="12"/>
  <c r="D114" i="6"/>
  <c r="F38" i="12"/>
  <c r="E114" i="6"/>
  <c r="B39" i="12"/>
  <c r="A115" i="6"/>
  <c r="C39" i="12"/>
  <c r="B115" i="6"/>
  <c r="D39" i="12"/>
  <c r="C115" i="6"/>
  <c r="E39" i="12"/>
  <c r="D115" i="6"/>
  <c r="F39" i="12"/>
  <c r="E115" i="6"/>
  <c r="B40" i="12"/>
  <c r="A116" i="6"/>
  <c r="C40" i="12"/>
  <c r="B116" i="6"/>
  <c r="E40" i="12"/>
  <c r="D116" i="6"/>
  <c r="F40" i="12"/>
  <c r="E116" i="6"/>
  <c r="B41" i="12"/>
  <c r="A117" i="6"/>
  <c r="C41" i="12"/>
  <c r="B117" i="6"/>
  <c r="D41" i="12"/>
  <c r="C117" i="6"/>
  <c r="E41" i="12"/>
  <c r="D117" i="6"/>
  <c r="F41" i="12"/>
  <c r="E117" i="6"/>
  <c r="B42" i="12"/>
  <c r="A118" i="6"/>
  <c r="C42" i="12"/>
  <c r="B118" i="6"/>
  <c r="E42" i="12"/>
  <c r="D118" i="6"/>
  <c r="F42" i="12"/>
  <c r="E118" i="6"/>
  <c r="B43" i="12"/>
  <c r="A119" i="6"/>
  <c r="C43" i="12"/>
  <c r="B119" i="6"/>
  <c r="D43" i="12"/>
  <c r="C119" i="6"/>
  <c r="E43" i="12"/>
  <c r="D119" i="6"/>
  <c r="F43" i="12"/>
  <c r="E119" i="6"/>
  <c r="B44" i="12"/>
  <c r="A120" i="6"/>
  <c r="C44" i="12"/>
  <c r="B120" i="6"/>
  <c r="E44" i="12"/>
  <c r="D120" i="6"/>
  <c r="F44" i="12"/>
  <c r="E120" i="6"/>
  <c r="B45" i="12"/>
  <c r="A121" i="6"/>
  <c r="C45" i="12"/>
  <c r="B121" i="6"/>
  <c r="D45" i="12"/>
  <c r="C121" i="6"/>
  <c r="E45" i="12"/>
  <c r="D121" i="6"/>
  <c r="F45" i="12"/>
  <c r="E121" i="6"/>
  <c r="B46" i="12"/>
  <c r="A122" i="6"/>
  <c r="C46" i="12"/>
  <c r="B122" i="6"/>
  <c r="E46" i="12"/>
  <c r="D122" i="6"/>
  <c r="F46" i="12"/>
  <c r="E122" i="6"/>
  <c r="B47" i="12"/>
  <c r="A123" i="6"/>
  <c r="C47" i="12"/>
  <c r="B123" i="6"/>
  <c r="D47" i="12"/>
  <c r="C123" i="6"/>
  <c r="E47" i="12"/>
  <c r="D123" i="6"/>
  <c r="F47" i="12"/>
  <c r="E123" i="6"/>
  <c r="B48" i="12"/>
  <c r="A124" i="6"/>
  <c r="C48" i="12"/>
  <c r="B124" i="6"/>
  <c r="D48" i="12"/>
  <c r="C124" i="6"/>
  <c r="E48" i="12"/>
  <c r="D124" i="6"/>
  <c r="F48" i="12"/>
  <c r="E124" i="6"/>
  <c r="B49" i="12"/>
  <c r="A125" i="6"/>
  <c r="C49" i="12"/>
  <c r="B125" i="6"/>
  <c r="D49" i="12"/>
  <c r="C125" i="6"/>
  <c r="E49" i="12"/>
  <c r="D125" i="6"/>
  <c r="F49" i="12"/>
  <c r="E125" i="6"/>
  <c r="B50" i="12"/>
  <c r="A126" i="6"/>
  <c r="C50" i="12"/>
  <c r="B126" i="6"/>
  <c r="E50" i="12"/>
  <c r="D126" i="6"/>
  <c r="F50" i="12"/>
  <c r="E126" i="6"/>
  <c r="B51" i="12"/>
  <c r="A127" i="6"/>
  <c r="C51" i="12"/>
  <c r="B127" i="6"/>
  <c r="D51" i="12"/>
  <c r="C127" i="6"/>
  <c r="E51" i="12"/>
  <c r="D127" i="6"/>
  <c r="F51" i="12"/>
  <c r="E127" i="6"/>
  <c r="B52" i="12"/>
  <c r="A128" i="6"/>
  <c r="C52" i="12"/>
  <c r="B128" i="6"/>
  <c r="D52" i="12"/>
  <c r="C128" i="6"/>
  <c r="E52" i="12"/>
  <c r="D128" i="6"/>
  <c r="F52" i="12"/>
  <c r="E128" i="6"/>
  <c r="B129" i="6"/>
  <c r="B130" i="6"/>
  <c r="B131" i="6"/>
  <c r="B132" i="6"/>
  <c r="B133" i="6"/>
  <c r="D71" i="6"/>
  <c r="I49" i="6"/>
  <c r="C12" i="5"/>
  <c r="B35" i="6"/>
  <c r="G53" i="12"/>
  <c r="H53" i="12"/>
  <c r="E47" i="9"/>
  <c r="L19" i="11"/>
  <c r="L21" i="11"/>
  <c r="L22" i="11"/>
  <c r="L24" i="11"/>
  <c r="L25" i="11"/>
  <c r="L26" i="11"/>
  <c r="L28" i="11"/>
  <c r="L29" i="11"/>
  <c r="L30" i="11"/>
  <c r="L32" i="11"/>
  <c r="L33" i="11"/>
  <c r="L34" i="11"/>
  <c r="L36" i="11"/>
  <c r="L37" i="11"/>
  <c r="L38" i="11"/>
  <c r="L40" i="11"/>
  <c r="L41" i="11"/>
  <c r="L42" i="11"/>
  <c r="L44" i="11"/>
  <c r="L45" i="11"/>
  <c r="L46" i="11"/>
  <c r="L48" i="11"/>
  <c r="L49" i="11"/>
  <c r="L50" i="11"/>
  <c r="L52" i="11"/>
  <c r="L53" i="11"/>
  <c r="P53"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14" i="11"/>
  <c r="O15" i="11"/>
  <c r="O16" i="11"/>
  <c r="O19" i="11"/>
  <c r="O20" i="11"/>
  <c r="O23" i="11"/>
  <c r="O24" i="11"/>
  <c r="O28" i="11"/>
  <c r="O29" i="11"/>
  <c r="O31" i="11"/>
  <c r="O32" i="11"/>
  <c r="O35" i="11"/>
  <c r="O36" i="11"/>
  <c r="O39" i="11"/>
  <c r="O40" i="11"/>
  <c r="O44" i="11"/>
  <c r="O47" i="11"/>
  <c r="O48" i="11"/>
  <c r="O52" i="11"/>
  <c r="O14" i="11"/>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13" i="12"/>
  <c r="M52"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13" i="12"/>
  <c r="D3" i="12"/>
  <c r="D2" i="12"/>
  <c r="D1" i="12"/>
  <c r="R180" i="3"/>
  <c r="J185" i="3"/>
  <c r="F40" i="3"/>
  <c r="E15" i="5"/>
  <c r="C18" i="5"/>
  <c r="C96" i="1"/>
  <c r="M3" i="9"/>
  <c r="D13" i="5"/>
  <c r="M15"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94" i="3"/>
  <c r="S87" i="3"/>
  <c r="T95" i="3"/>
  <c r="S95" i="3"/>
  <c r="T96" i="3"/>
  <c r="S96" i="3"/>
  <c r="T97" i="3"/>
  <c r="S97" i="3"/>
  <c r="T98" i="3"/>
  <c r="S98" i="3"/>
  <c r="T99" i="3"/>
  <c r="S99" i="3"/>
  <c r="T100" i="3"/>
  <c r="S100" i="3"/>
  <c r="T101" i="3"/>
  <c r="S101" i="3"/>
  <c r="T102" i="3"/>
  <c r="S102" i="3"/>
  <c r="T103" i="3"/>
  <c r="S103" i="3"/>
  <c r="T104" i="3"/>
  <c r="S104" i="3"/>
  <c r="T105" i="3"/>
  <c r="S105" i="3"/>
  <c r="T106" i="3"/>
  <c r="S106" i="3"/>
  <c r="T107" i="3"/>
  <c r="S107" i="3"/>
  <c r="T108" i="3"/>
  <c r="S108" i="3"/>
  <c r="T109" i="3"/>
  <c r="S109" i="3"/>
  <c r="T110" i="3"/>
  <c r="S110" i="3"/>
  <c r="T111" i="3"/>
  <c r="S111" i="3"/>
  <c r="T112" i="3"/>
  <c r="S112" i="3"/>
  <c r="T113" i="3"/>
  <c r="S113" i="3"/>
  <c r="T114" i="3"/>
  <c r="S114" i="3"/>
  <c r="T115" i="3"/>
  <c r="S115" i="3"/>
  <c r="T116" i="3"/>
  <c r="S116" i="3"/>
  <c r="T117" i="3"/>
  <c r="S117" i="3"/>
  <c r="T118" i="3"/>
  <c r="S118" i="3"/>
  <c r="T119" i="3"/>
  <c r="S119" i="3"/>
  <c r="T120" i="3"/>
  <c r="S120" i="3"/>
  <c r="T121" i="3"/>
  <c r="S121" i="3"/>
  <c r="T122" i="3"/>
  <c r="S122" i="3"/>
  <c r="T123" i="3"/>
  <c r="S123" i="3"/>
  <c r="T124" i="3"/>
  <c r="S124" i="3"/>
  <c r="T125" i="3"/>
  <c r="S125" i="3"/>
  <c r="T126" i="3"/>
  <c r="S126" i="3"/>
  <c r="T127" i="3"/>
  <c r="S127" i="3"/>
  <c r="T128" i="3"/>
  <c r="S128" i="3"/>
  <c r="T129" i="3"/>
  <c r="S129" i="3"/>
  <c r="T130" i="3"/>
  <c r="S130" i="3"/>
  <c r="T131" i="3"/>
  <c r="S131" i="3"/>
  <c r="T132" i="3"/>
  <c r="S132" i="3"/>
  <c r="T133" i="3"/>
  <c r="S133" i="3"/>
  <c r="S139" i="3"/>
  <c r="U139" i="3"/>
  <c r="S140" i="3"/>
  <c r="R140" i="3"/>
  <c r="S141" i="3"/>
  <c r="R141" i="3"/>
  <c r="S142" i="3"/>
  <c r="R142" i="3"/>
  <c r="S143" i="3"/>
  <c r="R143" i="3"/>
  <c r="S144" i="3"/>
  <c r="R144" i="3"/>
  <c r="T87" i="3"/>
  <c r="D12" i="5"/>
  <c r="F12" i="5"/>
  <c r="I35" i="6"/>
  <c r="D19" i="5"/>
  <c r="F19" i="5"/>
  <c r="I42" i="6"/>
  <c r="U141" i="3"/>
  <c r="U142" i="3"/>
  <c r="U143" i="3"/>
  <c r="U14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53" i="3"/>
  <c r="U57" i="3"/>
  <c r="U60" i="3"/>
  <c r="U62" i="3"/>
  <c r="U64" i="3"/>
  <c r="U66" i="3"/>
  <c r="U68" i="3"/>
  <c r="U70" i="3"/>
  <c r="U72" i="3"/>
  <c r="U74" i="3"/>
  <c r="U76" i="3"/>
  <c r="U78" i="3"/>
  <c r="U80" i="3"/>
  <c r="U82" i="3"/>
  <c r="U84" i="3"/>
  <c r="U86" i="3"/>
  <c r="G28" i="3"/>
  <c r="G29" i="3"/>
  <c r="G30" i="3"/>
  <c r="G31" i="3"/>
  <c r="G32" i="3"/>
  <c r="G33" i="3"/>
  <c r="G34" i="3"/>
  <c r="G35" i="3"/>
  <c r="G36" i="3"/>
  <c r="G37" i="3"/>
  <c r="G38" i="3"/>
  <c r="G39" i="3"/>
  <c r="G27" i="3"/>
  <c r="G12" i="3"/>
  <c r="G17" i="3"/>
  <c r="G18" i="3"/>
  <c r="G19" i="3"/>
  <c r="D4" i="3"/>
  <c r="D3" i="3"/>
  <c r="D2" i="3"/>
  <c r="I185" i="3"/>
  <c r="B6" i="12"/>
  <c r="B5" i="12"/>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H129" i="6"/>
  <c r="E129" i="6"/>
  <c r="C129" i="6"/>
  <c r="E130" i="6"/>
  <c r="C130" i="6"/>
  <c r="H130" i="6"/>
  <c r="E131" i="6"/>
  <c r="C131" i="6"/>
  <c r="H131" i="6"/>
  <c r="E132" i="6"/>
  <c r="C132" i="6"/>
  <c r="H132" i="6"/>
  <c r="E133" i="6"/>
  <c r="C133" i="6"/>
  <c r="H133" i="6"/>
  <c r="I89" i="6"/>
  <c r="K89" i="6"/>
  <c r="E4" i="11"/>
  <c r="E3" i="11"/>
  <c r="E2" i="11"/>
  <c r="B10" i="7"/>
  <c r="I33" i="6"/>
  <c r="I32" i="6"/>
  <c r="I31" i="6"/>
  <c r="I30" i="6"/>
  <c r="B10" i="6"/>
  <c r="D5" i="3"/>
  <c r="D15" i="6"/>
  <c r="E19" i="6"/>
  <c r="E20" i="6"/>
  <c r="C35" i="6"/>
  <c r="D35" i="6"/>
  <c r="C36" i="6"/>
  <c r="D38" i="6"/>
  <c r="B47" i="6"/>
  <c r="B56" i="6"/>
  <c r="M90" i="6"/>
  <c r="I90" i="6"/>
  <c r="I91" i="6"/>
  <c r="M92" i="6"/>
  <c r="I92" i="6"/>
  <c r="M93" i="6"/>
  <c r="I93" i="6"/>
  <c r="M94" i="6"/>
  <c r="I94" i="6"/>
  <c r="I95" i="6"/>
  <c r="M96" i="6"/>
  <c r="I96" i="6"/>
  <c r="I97" i="6"/>
  <c r="M98" i="6"/>
  <c r="I98" i="6"/>
  <c r="M99" i="6"/>
  <c r="I99" i="6"/>
  <c r="M100" i="6"/>
  <c r="I100" i="6"/>
  <c r="N100" i="6"/>
  <c r="M101" i="6"/>
  <c r="I101" i="6"/>
  <c r="M102" i="6"/>
  <c r="I102" i="6"/>
  <c r="M103" i="6"/>
  <c r="I103" i="6"/>
  <c r="M104" i="6"/>
  <c r="I104" i="6"/>
  <c r="N104" i="6"/>
  <c r="M105" i="6"/>
  <c r="I105" i="6"/>
  <c r="M106" i="6"/>
  <c r="I106" i="6"/>
  <c r="M107" i="6"/>
  <c r="I107" i="6"/>
  <c r="M108" i="6"/>
  <c r="I108" i="6"/>
  <c r="N108" i="6"/>
  <c r="M109" i="6"/>
  <c r="I109" i="6"/>
  <c r="M110" i="6"/>
  <c r="I110" i="6"/>
  <c r="M111" i="6"/>
  <c r="I111" i="6"/>
  <c r="M112" i="6"/>
  <c r="I112" i="6"/>
  <c r="N112" i="6"/>
  <c r="M113" i="6"/>
  <c r="I113" i="6"/>
  <c r="M114" i="6"/>
  <c r="I114" i="6"/>
  <c r="M115" i="6"/>
  <c r="I115" i="6"/>
  <c r="M116" i="6"/>
  <c r="I116" i="6"/>
  <c r="N116" i="6"/>
  <c r="M117" i="6"/>
  <c r="I117" i="6"/>
  <c r="M118" i="6"/>
  <c r="I118" i="6"/>
  <c r="M119" i="6"/>
  <c r="I119" i="6"/>
  <c r="M120" i="6"/>
  <c r="I120" i="6"/>
  <c r="N120" i="6"/>
  <c r="M121" i="6"/>
  <c r="I121" i="6"/>
  <c r="M122" i="6"/>
  <c r="I122" i="6"/>
  <c r="M123" i="6"/>
  <c r="I123" i="6"/>
  <c r="M124" i="6"/>
  <c r="I124" i="6"/>
  <c r="N124" i="6"/>
  <c r="M125" i="6"/>
  <c r="I125" i="6"/>
  <c r="M126" i="6"/>
  <c r="I126" i="6"/>
  <c r="M127" i="6"/>
  <c r="I127" i="6"/>
  <c r="K143" i="6"/>
  <c r="J143" i="6"/>
  <c r="I143" i="6"/>
  <c r="H143" i="6"/>
  <c r="G143" i="6"/>
  <c r="C192" i="6"/>
  <c r="E197" i="6"/>
  <c r="C16" i="5"/>
  <c r="B39" i="6"/>
  <c r="H180" i="3"/>
  <c r="H181" i="3"/>
  <c r="A129" i="6"/>
  <c r="A130" i="6"/>
  <c r="A131" i="6"/>
  <c r="A132" i="6"/>
  <c r="A133" i="6"/>
  <c r="E29" i="6"/>
  <c r="B16" i="9"/>
  <c r="B17" i="9"/>
  <c r="B18" i="9"/>
  <c r="B19" i="9"/>
  <c r="B20" i="9"/>
  <c r="B21" i="9"/>
  <c r="B22" i="9"/>
  <c r="B24" i="9"/>
  <c r="B25" i="9"/>
  <c r="B26" i="9"/>
  <c r="M145" i="3"/>
  <c r="K145" i="3"/>
  <c r="H182" i="3"/>
  <c r="F143" i="6"/>
  <c r="E21" i="6"/>
  <c r="B40" i="6"/>
  <c r="D4" i="11"/>
  <c r="D3" i="11"/>
  <c r="D2" i="11"/>
  <c r="H183" i="3"/>
  <c r="H184" i="3"/>
  <c r="B7" i="11"/>
  <c r="B6" i="11"/>
  <c r="B9" i="3"/>
  <c r="E25" i="6"/>
  <c r="E26" i="6"/>
  <c r="E27" i="6"/>
  <c r="M128" i="6"/>
  <c r="G129" i="6"/>
  <c r="G130" i="6"/>
  <c r="G131" i="6"/>
  <c r="G132" i="6"/>
  <c r="G133" i="6"/>
  <c r="C4" i="5"/>
  <c r="C40" i="3"/>
  <c r="E31" i="6"/>
  <c r="C3" i="5"/>
  <c r="C2" i="5"/>
  <c r="G15" i="3"/>
  <c r="G16" i="3"/>
  <c r="B8" i="3"/>
  <c r="B7" i="6"/>
  <c r="B6" i="6"/>
  <c r="B8" i="6"/>
  <c r="B204" i="6"/>
  <c r="B9" i="6"/>
  <c r="B49" i="6"/>
  <c r="B50" i="6"/>
  <c r="B51" i="6"/>
  <c r="B52" i="6"/>
  <c r="G13" i="3"/>
  <c r="G14" i="3"/>
  <c r="B7" i="3"/>
  <c r="B7" i="5"/>
  <c r="B8" i="5"/>
  <c r="D12" i="6"/>
  <c r="E22" i="6"/>
  <c r="E23" i="6"/>
  <c r="E24" i="6"/>
  <c r="E12" i="5"/>
  <c r="C12" i="9"/>
  <c r="M6" i="9"/>
  <c r="D30" i="5"/>
  <c r="I46" i="6"/>
  <c r="AE63" i="3"/>
  <c r="D42" i="12"/>
  <c r="C118" i="6"/>
  <c r="D40" i="12"/>
  <c r="C116" i="6"/>
  <c r="D38" i="12"/>
  <c r="C114" i="6"/>
  <c r="D36" i="12"/>
  <c r="C112" i="6"/>
  <c r="D34" i="12"/>
  <c r="C110" i="6"/>
  <c r="AE59" i="3"/>
  <c r="D50" i="12"/>
  <c r="C126" i="6"/>
  <c r="D46" i="12"/>
  <c r="C122" i="6"/>
  <c r="D24" i="12"/>
  <c r="C100" i="6"/>
  <c r="F51" i="11"/>
  <c r="E183" i="6"/>
  <c r="F47" i="11"/>
  <c r="E179" i="6"/>
  <c r="F43" i="11"/>
  <c r="E175" i="6"/>
  <c r="F39" i="11"/>
  <c r="E171" i="6"/>
  <c r="F35" i="11"/>
  <c r="E167" i="6"/>
  <c r="F31" i="11"/>
  <c r="E163" i="6"/>
  <c r="F27" i="11"/>
  <c r="E159" i="6"/>
  <c r="AE57" i="3"/>
  <c r="D44" i="12"/>
  <c r="C120" i="6"/>
  <c r="D26" i="12"/>
  <c r="C102" i="6"/>
  <c r="N114" i="6"/>
  <c r="O114" i="6"/>
  <c r="N106" i="6"/>
  <c r="O106" i="6"/>
  <c r="N98" i="6"/>
  <c r="O98" i="6"/>
  <c r="N126" i="6"/>
  <c r="N110" i="6"/>
  <c r="O110" i="6"/>
  <c r="N102" i="6"/>
  <c r="O102" i="6"/>
  <c r="N125" i="6"/>
  <c r="O125" i="6"/>
  <c r="N123" i="6"/>
  <c r="O123" i="6"/>
  <c r="N121" i="6"/>
  <c r="O121" i="6"/>
  <c r="N119" i="6"/>
  <c r="O119" i="6"/>
  <c r="N117" i="6"/>
  <c r="O117" i="6"/>
  <c r="N115" i="6"/>
  <c r="N109" i="6"/>
  <c r="O109" i="6"/>
  <c r="N105" i="6"/>
  <c r="O105" i="6"/>
  <c r="N101" i="6"/>
  <c r="O101" i="6"/>
  <c r="L16" i="11"/>
  <c r="N96" i="6"/>
  <c r="O96" i="6"/>
  <c r="L17" i="11"/>
  <c r="D16" i="12"/>
  <c r="C92" i="6"/>
  <c r="K51" i="3"/>
  <c r="U51" i="3"/>
  <c r="H149" i="6"/>
  <c r="J149" i="6"/>
  <c r="N149" i="6"/>
  <c r="D18" i="5"/>
  <c r="Q15" i="3"/>
  <c r="D16" i="6"/>
  <c r="E28" i="6"/>
  <c r="E30" i="6"/>
  <c r="U140" i="3"/>
  <c r="D24" i="5"/>
  <c r="M51" i="3"/>
  <c r="G83" i="6"/>
  <c r="G82" i="6"/>
  <c r="H82" i="6"/>
  <c r="G70" i="6"/>
  <c r="H70" i="6"/>
  <c r="O126" i="6"/>
  <c r="N122" i="6"/>
  <c r="O122" i="6"/>
  <c r="N118" i="6"/>
  <c r="O118" i="6"/>
  <c r="O116" i="6"/>
  <c r="N94" i="6"/>
  <c r="O94" i="6"/>
  <c r="J181" i="6"/>
  <c r="N181" i="6"/>
  <c r="J177" i="6"/>
  <c r="N177" i="6"/>
  <c r="L177" i="6"/>
  <c r="G69" i="6"/>
  <c r="H69" i="6"/>
  <c r="G68" i="6"/>
  <c r="H68" i="6"/>
  <c r="O100" i="6"/>
  <c r="D84" i="6"/>
  <c r="H80" i="6"/>
  <c r="H78" i="6"/>
  <c r="H66" i="6"/>
  <c r="H83" i="6"/>
  <c r="G81" i="6"/>
  <c r="H81" i="6"/>
  <c r="H79" i="6"/>
  <c r="H65" i="6"/>
  <c r="M95" i="6"/>
  <c r="M91" i="6"/>
  <c r="M185" i="6"/>
  <c r="G77" i="6"/>
  <c r="M97" i="6"/>
  <c r="M180" i="6"/>
  <c r="G64" i="6"/>
  <c r="H64" i="6"/>
  <c r="O112" i="6"/>
  <c r="E38" i="6"/>
  <c r="O27" i="11"/>
  <c r="M162" i="6"/>
  <c r="N113" i="6"/>
  <c r="N97" i="6"/>
  <c r="N111" i="6"/>
  <c r="O111" i="6"/>
  <c r="N107" i="6"/>
  <c r="O107" i="6"/>
  <c r="N103" i="6"/>
  <c r="O103" i="6"/>
  <c r="N99" i="6"/>
  <c r="O99" i="6"/>
  <c r="N95" i="6"/>
  <c r="N127" i="6"/>
  <c r="O127" i="6"/>
  <c r="J150" i="6"/>
  <c r="N150" i="6"/>
  <c r="L150" i="6"/>
  <c r="AC79" i="3"/>
  <c r="S79" i="3"/>
  <c r="O45" i="11"/>
  <c r="O33" i="11"/>
  <c r="O17" i="11"/>
  <c r="M148" i="6"/>
  <c r="M87" i="3"/>
  <c r="AC87" i="3"/>
  <c r="O49" i="11"/>
  <c r="O37" i="11"/>
  <c r="O21" i="11"/>
  <c r="M161" i="6"/>
  <c r="M157" i="6"/>
  <c r="M153" i="6"/>
  <c r="O41" i="11"/>
  <c r="M173" i="6"/>
  <c r="M165" i="6"/>
  <c r="AA63" i="3"/>
  <c r="L15" i="11"/>
  <c r="O51" i="11"/>
  <c r="AC63" i="3"/>
  <c r="AB69" i="3"/>
  <c r="AD69" i="3"/>
  <c r="AA69" i="3"/>
  <c r="S59" i="3"/>
  <c r="O43" i="11"/>
  <c r="M60" i="3"/>
  <c r="AE60" i="3"/>
  <c r="AB65" i="3"/>
  <c r="S65" i="3"/>
  <c r="N93" i="6"/>
  <c r="O93" i="6"/>
  <c r="N92" i="6"/>
  <c r="O92" i="6"/>
  <c r="AE50" i="3"/>
  <c r="AB50" i="3"/>
  <c r="N91" i="6"/>
  <c r="N90" i="6"/>
  <c r="O90" i="6"/>
  <c r="M49" i="3"/>
  <c r="AB49" i="3"/>
  <c r="U94" i="3"/>
  <c r="S94" i="3"/>
  <c r="S145" i="3"/>
  <c r="I17" i="3"/>
  <c r="R139" i="3"/>
  <c r="C39" i="6"/>
  <c r="O15" i="3"/>
  <c r="E35" i="6"/>
  <c r="AC84" i="3"/>
  <c r="S84" i="3"/>
  <c r="AC75" i="3"/>
  <c r="AD75" i="3"/>
  <c r="AA75" i="3"/>
  <c r="S75" i="3"/>
  <c r="AC59" i="3"/>
  <c r="S57" i="3"/>
  <c r="O50" i="11"/>
  <c r="O46" i="11"/>
  <c r="O42" i="11"/>
  <c r="O38" i="11"/>
  <c r="O34" i="11"/>
  <c r="O30" i="11"/>
  <c r="M179" i="6"/>
  <c r="M178" i="6"/>
  <c r="M176" i="6"/>
  <c r="M168" i="6"/>
  <c r="AA57" i="3"/>
  <c r="AD79" i="3"/>
  <c r="AB63" i="3"/>
  <c r="AB85" i="3"/>
  <c r="S85" i="3"/>
  <c r="AB73" i="3"/>
  <c r="AA73" i="3"/>
  <c r="S73" i="3"/>
  <c r="AA65" i="3"/>
  <c r="AB81" i="3"/>
  <c r="AA81" i="3"/>
  <c r="S81" i="3"/>
  <c r="AB71" i="3"/>
  <c r="S71" i="3"/>
  <c r="AC71" i="3"/>
  <c r="AA71" i="3"/>
  <c r="S69" i="3"/>
  <c r="S63" i="3"/>
  <c r="AA84" i="3"/>
  <c r="AA59" i="3"/>
  <c r="AD63" i="3"/>
  <c r="AB59" i="3"/>
  <c r="AA85" i="3"/>
  <c r="AC76" i="3"/>
  <c r="S76" i="3"/>
  <c r="AA76" i="3"/>
  <c r="AB72" i="3"/>
  <c r="S72" i="3"/>
  <c r="AB68" i="3"/>
  <c r="S68" i="3"/>
  <c r="AA68" i="3"/>
  <c r="AD57" i="3"/>
  <c r="AD65" i="3"/>
  <c r="AB79" i="3"/>
  <c r="AB57" i="3"/>
  <c r="AC57" i="3"/>
  <c r="B55" i="6"/>
  <c r="B57" i="6"/>
  <c r="E42" i="6"/>
  <c r="K43" i="9"/>
  <c r="D17" i="5"/>
  <c r="H77" i="6"/>
  <c r="N15" i="3"/>
  <c r="D15" i="5"/>
  <c r="AC83" i="3"/>
  <c r="S83" i="3"/>
  <c r="AB67" i="3"/>
  <c r="AD67" i="3"/>
  <c r="S67" i="3"/>
  <c r="AA67" i="3"/>
  <c r="AC67" i="3"/>
  <c r="AE55" i="3"/>
  <c r="AD55" i="3"/>
  <c r="S55" i="3"/>
  <c r="AB55" i="3"/>
  <c r="AA55" i="3"/>
  <c r="AC55" i="3"/>
  <c r="AB77" i="3"/>
  <c r="AA77" i="3"/>
  <c r="S77" i="3"/>
  <c r="AE61" i="3"/>
  <c r="AD61" i="3"/>
  <c r="AB61" i="3"/>
  <c r="AA61" i="3"/>
  <c r="S61" i="3"/>
  <c r="AC61" i="3"/>
  <c r="AC80" i="3"/>
  <c r="AD80" i="3"/>
  <c r="S80" i="3"/>
  <c r="AB64" i="3"/>
  <c r="AA64" i="3"/>
  <c r="AC64" i="3"/>
  <c r="AD64" i="3"/>
  <c r="S64" i="3"/>
  <c r="AA72" i="3"/>
  <c r="AD87" i="3"/>
  <c r="AD71" i="3"/>
  <c r="AD59" i="3"/>
  <c r="AC65" i="3"/>
  <c r="M86" i="3"/>
  <c r="AE86" i="3"/>
  <c r="M82" i="3"/>
  <c r="S82" i="3"/>
  <c r="M78" i="3"/>
  <c r="AE78" i="3"/>
  <c r="M74" i="3"/>
  <c r="S74" i="3"/>
  <c r="M70" i="3"/>
  <c r="AE70" i="3"/>
  <c r="M66" i="3"/>
  <c r="AC66" i="3"/>
  <c r="M62" i="3"/>
  <c r="AC62" i="3"/>
  <c r="M58" i="3"/>
  <c r="AE58" i="3"/>
  <c r="L51" i="11"/>
  <c r="L27" i="11"/>
  <c r="L23" i="11"/>
  <c r="L18" i="11"/>
  <c r="I131" i="6"/>
  <c r="K131" i="6"/>
  <c r="N131" i="6"/>
  <c r="I128" i="6"/>
  <c r="K128" i="6"/>
  <c r="N128" i="6"/>
  <c r="O128" i="6"/>
  <c r="O124" i="6"/>
  <c r="O115" i="6"/>
  <c r="O108" i="6"/>
  <c r="H134" i="6"/>
  <c r="M56" i="3"/>
  <c r="AA56" i="3"/>
  <c r="M52" i="3"/>
  <c r="AA52" i="3"/>
  <c r="O120" i="6"/>
  <c r="O113" i="6"/>
  <c r="O104" i="6"/>
  <c r="I44" i="6"/>
  <c r="G134" i="6"/>
  <c r="I134" i="6"/>
  <c r="I132" i="6"/>
  <c r="K132" i="6"/>
  <c r="N132" i="6"/>
  <c r="G186" i="6"/>
  <c r="M130" i="6"/>
  <c r="M129" i="6"/>
  <c r="I130" i="6"/>
  <c r="K130" i="6"/>
  <c r="N130" i="6"/>
  <c r="AE64" i="3"/>
  <c r="J175" i="6"/>
  <c r="N175" i="6"/>
  <c r="L175" i="6"/>
  <c r="J167" i="6"/>
  <c r="N167" i="6"/>
  <c r="L167" i="6"/>
  <c r="M132" i="6"/>
  <c r="S50" i="3"/>
  <c r="L47" i="11"/>
  <c r="L43" i="11"/>
  <c r="L39" i="11"/>
  <c r="L35" i="11"/>
  <c r="L31" i="11"/>
  <c r="AD50" i="3"/>
  <c r="M54" i="3"/>
  <c r="AC54" i="3"/>
  <c r="J179" i="6"/>
  <c r="N179" i="6"/>
  <c r="L179" i="6"/>
  <c r="J171" i="6"/>
  <c r="N171" i="6"/>
  <c r="L171" i="6"/>
  <c r="J163" i="6"/>
  <c r="N163" i="6"/>
  <c r="L163" i="6"/>
  <c r="J173" i="6"/>
  <c r="N173" i="6"/>
  <c r="J169" i="6"/>
  <c r="N169" i="6"/>
  <c r="L169" i="6"/>
  <c r="J165" i="6"/>
  <c r="N165" i="6"/>
  <c r="J161" i="6"/>
  <c r="N161" i="6"/>
  <c r="L161" i="6"/>
  <c r="M158" i="6"/>
  <c r="AA80" i="3"/>
  <c r="D29" i="5"/>
  <c r="I45" i="6"/>
  <c r="J159" i="6"/>
  <c r="N159" i="6"/>
  <c r="L159" i="6"/>
  <c r="M154" i="6"/>
  <c r="M149" i="6"/>
  <c r="AA50" i="3"/>
  <c r="AD72" i="3"/>
  <c r="AD68" i="3"/>
  <c r="AC50" i="3"/>
  <c r="H186" i="6"/>
  <c r="K152" i="6"/>
  <c r="J152" i="6"/>
  <c r="L20" i="11"/>
  <c r="J153" i="6"/>
  <c r="N153" i="6"/>
  <c r="L153" i="6"/>
  <c r="M152" i="6"/>
  <c r="AC77" i="3"/>
  <c r="J157" i="6"/>
  <c r="N157" i="6"/>
  <c r="AE72" i="3"/>
  <c r="AE71" i="3"/>
  <c r="AE69" i="3"/>
  <c r="AE68" i="3"/>
  <c r="AE67" i="3"/>
  <c r="AE65" i="3"/>
  <c r="J147" i="6"/>
  <c r="N147" i="6"/>
  <c r="L147" i="6"/>
  <c r="M133" i="6"/>
  <c r="J155" i="6"/>
  <c r="N155" i="6"/>
  <c r="L155" i="6"/>
  <c r="J151" i="6"/>
  <c r="N151" i="6"/>
  <c r="L151" i="6"/>
  <c r="M48" i="3"/>
  <c r="L89" i="6"/>
  <c r="L14" i="11"/>
  <c r="AB53" i="3"/>
  <c r="S53" i="3"/>
  <c r="AE53" i="3"/>
  <c r="AC53" i="3"/>
  <c r="AA53" i="3"/>
  <c r="AD53" i="3"/>
  <c r="M89" i="6"/>
  <c r="J134" i="6"/>
  <c r="J146" i="6"/>
  <c r="N146" i="6"/>
  <c r="M146" i="6"/>
  <c r="AD76" i="3"/>
  <c r="AC85" i="3"/>
  <c r="AE76" i="3"/>
  <c r="AE75" i="3"/>
  <c r="AE73" i="3"/>
  <c r="N89" i="6"/>
  <c r="K134" i="6"/>
  <c r="D13" i="12"/>
  <c r="C89" i="6"/>
  <c r="K48" i="3"/>
  <c r="J185" i="6"/>
  <c r="N185" i="6"/>
  <c r="L185" i="6"/>
  <c r="J183" i="6"/>
  <c r="N183" i="6"/>
  <c r="L183" i="6"/>
  <c r="J180" i="6"/>
  <c r="N180" i="6"/>
  <c r="L180" i="6"/>
  <c r="J176" i="6"/>
  <c r="N176" i="6"/>
  <c r="L176" i="6"/>
  <c r="J172" i="6"/>
  <c r="N172" i="6"/>
  <c r="L172" i="6"/>
  <c r="J168" i="6"/>
  <c r="N168" i="6"/>
  <c r="J164" i="6"/>
  <c r="N164" i="6"/>
  <c r="L164" i="6"/>
  <c r="J160" i="6"/>
  <c r="N160" i="6"/>
  <c r="L160" i="6"/>
  <c r="J156" i="6"/>
  <c r="N156" i="6"/>
  <c r="L156" i="6"/>
  <c r="J184" i="6"/>
  <c r="N184" i="6"/>
  <c r="L184" i="6"/>
  <c r="J182" i="6"/>
  <c r="N182" i="6"/>
  <c r="L182" i="6"/>
  <c r="J178" i="6"/>
  <c r="N178" i="6"/>
  <c r="J174" i="6"/>
  <c r="N174" i="6"/>
  <c r="L174" i="6"/>
  <c r="J170" i="6"/>
  <c r="N170" i="6"/>
  <c r="L170" i="6"/>
  <c r="J166" i="6"/>
  <c r="N166" i="6"/>
  <c r="L166" i="6"/>
  <c r="J162" i="6"/>
  <c r="N162" i="6"/>
  <c r="L162" i="6"/>
  <c r="J158" i="6"/>
  <c r="N158" i="6"/>
  <c r="J154" i="6"/>
  <c r="N154" i="6"/>
  <c r="M131" i="6"/>
  <c r="I133" i="6"/>
  <c r="K133" i="6"/>
  <c r="N133" i="6"/>
  <c r="I129" i="6"/>
  <c r="K129" i="6"/>
  <c r="N129" i="6"/>
  <c r="L181" i="6"/>
  <c r="J148" i="6"/>
  <c r="N148" i="6"/>
  <c r="AA87" i="3"/>
  <c r="AA83" i="3"/>
  <c r="AA79" i="3"/>
  <c r="AD83" i="3"/>
  <c r="AD74" i="3"/>
  <c r="AC81" i="3"/>
  <c r="AC73" i="3"/>
  <c r="AC69" i="3"/>
  <c r="AB83" i="3"/>
  <c r="AB75" i="3"/>
  <c r="AD77" i="3"/>
  <c r="AD73" i="3"/>
  <c r="AC72" i="3"/>
  <c r="AC68" i="3"/>
  <c r="AE87" i="3"/>
  <c r="AE85" i="3"/>
  <c r="AE84" i="3"/>
  <c r="AE83" i="3"/>
  <c r="AE81" i="3"/>
  <c r="AE80" i="3"/>
  <c r="AE79" i="3"/>
  <c r="AE77" i="3"/>
  <c r="AD84" i="3"/>
  <c r="AB84" i="3"/>
  <c r="AB80" i="3"/>
  <c r="AB76" i="3"/>
  <c r="AD85" i="3"/>
  <c r="AD81" i="3"/>
  <c r="I48" i="6"/>
  <c r="L148" i="6"/>
  <c r="AA82" i="3"/>
  <c r="AB87" i="3"/>
  <c r="AD78" i="3"/>
  <c r="AB60" i="3"/>
  <c r="AC60" i="3"/>
  <c r="AA60" i="3"/>
  <c r="AE51" i="3"/>
  <c r="AC51" i="3"/>
  <c r="AA51" i="3"/>
  <c r="AB51" i="3"/>
  <c r="S51" i="3"/>
  <c r="AD51" i="3"/>
  <c r="C41" i="6"/>
  <c r="AB86" i="3"/>
  <c r="G71" i="6"/>
  <c r="L165" i="6"/>
  <c r="O91" i="6"/>
  <c r="O132" i="6"/>
  <c r="H84" i="6"/>
  <c r="G84" i="6"/>
  <c r="O97" i="6"/>
  <c r="O95" i="6"/>
  <c r="H71" i="6"/>
  <c r="L157" i="6"/>
  <c r="L173" i="6"/>
  <c r="O130" i="6"/>
  <c r="AC86" i="3"/>
  <c r="AA86" i="3"/>
  <c r="AA66" i="3"/>
  <c r="L168" i="6"/>
  <c r="S60" i="3"/>
  <c r="AC52" i="3"/>
  <c r="AE66" i="3"/>
  <c r="L154" i="6"/>
  <c r="AE74" i="3"/>
  <c r="AD60" i="3"/>
  <c r="S62" i="3"/>
  <c r="AA74" i="3"/>
  <c r="AC74" i="3"/>
  <c r="AB58" i="3"/>
  <c r="AC58" i="3"/>
  <c r="AB74" i="3"/>
  <c r="AC49" i="3"/>
  <c r="AE49" i="3"/>
  <c r="AD52" i="3"/>
  <c r="AE52" i="3"/>
  <c r="AD49" i="3"/>
  <c r="S49" i="3"/>
  <c r="AA49" i="3"/>
  <c r="K17" i="3"/>
  <c r="L178" i="6"/>
  <c r="S66" i="3"/>
  <c r="AC78" i="3"/>
  <c r="AD82" i="3"/>
  <c r="AA70" i="3"/>
  <c r="S86" i="3"/>
  <c r="AE82" i="3"/>
  <c r="AB52" i="3"/>
  <c r="S56" i="3"/>
  <c r="AA58" i="3"/>
  <c r="S78" i="3"/>
  <c r="AD56" i="3"/>
  <c r="AB70" i="3"/>
  <c r="AB62" i="3"/>
  <c r="S70" i="3"/>
  <c r="AD86" i="3"/>
  <c r="C40" i="6"/>
  <c r="P15" i="3"/>
  <c r="F15" i="5"/>
  <c r="I38" i="6"/>
  <c r="D21" i="5"/>
  <c r="O89" i="6"/>
  <c r="S52" i="3"/>
  <c r="AE56" i="3"/>
  <c r="AD58" i="3"/>
  <c r="AE62" i="3"/>
  <c r="AD70" i="3"/>
  <c r="L158" i="6"/>
  <c r="S58" i="3"/>
  <c r="AC70" i="3"/>
  <c r="O129" i="6"/>
  <c r="AB82" i="3"/>
  <c r="AA78" i="3"/>
  <c r="AB78" i="3"/>
  <c r="AC82" i="3"/>
  <c r="AB56" i="3"/>
  <c r="AC56" i="3"/>
  <c r="AA62" i="3"/>
  <c r="AD66" i="3"/>
  <c r="AB66" i="3"/>
  <c r="AD54" i="3"/>
  <c r="AD62" i="3"/>
  <c r="O133" i="6"/>
  <c r="AE54" i="3"/>
  <c r="L149" i="6"/>
  <c r="AB54" i="3"/>
  <c r="S54" i="3"/>
  <c r="AA54" i="3"/>
  <c r="O131" i="6"/>
  <c r="L146" i="6"/>
  <c r="N152" i="6"/>
  <c r="L152" i="6"/>
  <c r="J186" i="6"/>
  <c r="AB48" i="3"/>
  <c r="S48" i="3"/>
  <c r="U48" i="3"/>
  <c r="B33" i="9"/>
  <c r="AC48" i="3"/>
  <c r="AD48" i="3"/>
  <c r="L145" i="3"/>
  <c r="AE48" i="3"/>
  <c r="AA48" i="3"/>
  <c r="E43" i="6"/>
  <c r="O134" i="6"/>
  <c r="C190" i="6"/>
  <c r="C198" i="6"/>
  <c r="C199" i="6"/>
  <c r="R145" i="3"/>
  <c r="AD148" i="3"/>
  <c r="E17" i="5"/>
  <c r="P17" i="3"/>
  <c r="AA148" i="3"/>
  <c r="M17" i="3"/>
  <c r="AC148" i="3"/>
  <c r="E16" i="5"/>
  <c r="O17" i="3"/>
  <c r="AE148" i="3"/>
  <c r="L186" i="6"/>
  <c r="C191" i="6"/>
  <c r="D198" i="6"/>
  <c r="D199" i="6"/>
  <c r="AB148" i="3"/>
  <c r="D37" i="6"/>
  <c r="E37" i="6"/>
  <c r="F18" i="5"/>
  <c r="I41" i="6"/>
  <c r="I36" i="6"/>
  <c r="F17" i="5"/>
  <c r="I40" i="6"/>
  <c r="D40" i="6"/>
  <c r="E40" i="6"/>
  <c r="O19" i="3"/>
  <c r="D36" i="6"/>
  <c r="E36" i="6"/>
  <c r="D39" i="6"/>
  <c r="E39" i="6"/>
  <c r="N17" i="3"/>
  <c r="D41" i="6"/>
  <c r="E41" i="6"/>
  <c r="E44" i="6"/>
  <c r="C189" i="6"/>
  <c r="C193" i="6"/>
  <c r="B12" i="9"/>
  <c r="Q17" i="3"/>
  <c r="E21" i="5"/>
  <c r="Q19" i="3"/>
  <c r="N19" i="3"/>
  <c r="P19" i="3"/>
  <c r="M19" i="3"/>
  <c r="I39" i="6"/>
  <c r="I37" i="6"/>
  <c r="D32" i="5"/>
  <c r="E198" i="6"/>
  <c r="E199" i="6"/>
  <c r="B198" i="6"/>
  <c r="B199" i="6"/>
  <c r="B200" i="6"/>
  <c r="B201" i="6"/>
  <c r="B202" i="6"/>
</calcChain>
</file>

<file path=xl/comments1.xml><?xml version="1.0" encoding="utf-8"?>
<comments xmlns="http://schemas.openxmlformats.org/spreadsheetml/2006/main">
  <authors>
    <author>Thomas Gscheider</author>
  </authors>
  <commentList>
    <comment ref="I31" authorId="0">
      <text>
        <r>
          <rPr>
            <b/>
            <sz val="9"/>
            <color indexed="81"/>
            <rFont val="Tahoma"/>
            <family val="2"/>
          </rPr>
          <t xml:space="preserve">gewichtete Buchungszeit inkl Ferienbuchungen
</t>
        </r>
        <r>
          <rPr>
            <sz val="9"/>
            <color indexed="81"/>
            <rFont val="Tahoma"/>
            <family val="2"/>
          </rPr>
          <t xml:space="preserve">
</t>
        </r>
      </text>
    </comment>
    <comment ref="I32" authorId="0">
      <text>
        <r>
          <rPr>
            <b/>
            <sz val="9"/>
            <color indexed="81"/>
            <rFont val="Tahoma"/>
            <family val="2"/>
          </rPr>
          <t>Gesamtpersonalwochenstunden, Günstigkeitsregelung beachten</t>
        </r>
        <r>
          <rPr>
            <sz val="9"/>
            <color indexed="81"/>
            <rFont val="Tahoma"/>
            <family val="2"/>
          </rPr>
          <t xml:space="preserve">
</t>
        </r>
      </text>
    </comment>
  </commentList>
</comments>
</file>

<file path=xl/sharedStrings.xml><?xml version="1.0" encoding="utf-8"?>
<sst xmlns="http://schemas.openxmlformats.org/spreadsheetml/2006/main" count="1216" uniqueCount="527">
  <si>
    <t>Münchner Förderformel (MFF);</t>
  </si>
  <si>
    <t>Teil 2</t>
  </si>
  <si>
    <t xml:space="preserve">Trägername </t>
  </si>
  <si>
    <t>Einrichtungsnummer</t>
  </si>
  <si>
    <t>Nein</t>
  </si>
  <si>
    <t>Grunddaten</t>
  </si>
  <si>
    <t>KiBiGweb-ID</t>
  </si>
  <si>
    <t>anwesend im BWZ</t>
  </si>
  <si>
    <t>Anzahl Monate im BWZ</t>
  </si>
  <si>
    <t>von 
Monat</t>
  </si>
  <si>
    <t>bis 
Monat</t>
  </si>
  <si>
    <t>In 2014</t>
  </si>
  <si>
    <t>-----------</t>
  </si>
  <si>
    <t>SUMME</t>
  </si>
  <si>
    <t>Faktoren</t>
  </si>
  <si>
    <t xml:space="preserve">Faktor-Wertansatz </t>
  </si>
  <si>
    <t>Abgleich mit Höchstbeträgen</t>
  </si>
  <si>
    <r>
      <t>Faktor e</t>
    </r>
    <r>
      <rPr>
        <sz val="8"/>
        <rFont val="Arial"/>
        <family val="2"/>
      </rPr>
      <t>allg</t>
    </r>
  </si>
  <si>
    <r>
      <t>Faktor e</t>
    </r>
    <r>
      <rPr>
        <sz val="8"/>
        <rFont val="Arial"/>
        <family val="2"/>
      </rPr>
      <t xml:space="preserve">ausfall </t>
    </r>
  </si>
  <si>
    <r>
      <t>Faktor e</t>
    </r>
    <r>
      <rPr>
        <sz val="8"/>
        <rFont val="Arial"/>
        <family val="2"/>
      </rPr>
      <t>standort</t>
    </r>
  </si>
  <si>
    <t>Sachmittel estandort</t>
  </si>
  <si>
    <t>max. 15 % vom Höchwertansatz</t>
  </si>
  <si>
    <r>
      <t>Faktor e</t>
    </r>
    <r>
      <rPr>
        <sz val="8"/>
        <rFont val="Arial"/>
        <family val="2"/>
      </rPr>
      <t>öff</t>
    </r>
  </si>
  <si>
    <r>
      <t>Faktor kf</t>
    </r>
    <r>
      <rPr>
        <sz val="8"/>
        <rFont val="Arial"/>
        <family val="2"/>
      </rPr>
      <t xml:space="preserve">u3 </t>
    </r>
  </si>
  <si>
    <r>
      <t>Faktor kfkont</t>
    </r>
    <r>
      <rPr>
        <sz val="8"/>
        <rFont val="Arial"/>
        <family val="2"/>
      </rPr>
      <t xml:space="preserve"> </t>
    </r>
  </si>
  <si>
    <t xml:space="preserve">Eintragungen bitte nur in weiße Felder </t>
  </si>
  <si>
    <t>Träger der Einrichtung:</t>
  </si>
  <si>
    <t>Einrichtungsstraße:</t>
  </si>
  <si>
    <t>Einrichtungsnummer:</t>
  </si>
  <si>
    <t xml:space="preserve">Standortfaktor (Abgleich gültiger Straßenliste Standortadressen) </t>
  </si>
  <si>
    <t>gewichtete Buchungszeit (inkl. Ferienbuchung): Achtung Günstigkeitsregelung!</t>
  </si>
  <si>
    <t>Gesamtpersonalwochenstunden:  Achtung Günstigkeitsregelung!</t>
  </si>
  <si>
    <t>erforderliche Personalwochenstunden für 
AS 1:10,5:</t>
  </si>
  <si>
    <t>errechnet sich automatisch</t>
  </si>
  <si>
    <t>zusätzliche Personalwochenstunden</t>
  </si>
  <si>
    <t xml:space="preserve"> </t>
  </si>
  <si>
    <t>Summe MFF-Förderung nach Faktoren</t>
  </si>
  <si>
    <t>MFF-Faktor</t>
  </si>
  <si>
    <t>Multiplikator</t>
  </si>
  <si>
    <t>Höchstbetrag je Faktor pro Jahr</t>
  </si>
  <si>
    <t>tatsächliche
Kosten je Faktor</t>
  </si>
  <si>
    <t>tatsächliche vorläufige Förderung je Faktor</t>
  </si>
  <si>
    <t>max. 0,15</t>
  </si>
  <si>
    <t>Basiswert BayKiBiGx2x3</t>
  </si>
  <si>
    <t>Faktor m</t>
  </si>
  <si>
    <t>vgl. Hilfstabelle</t>
  </si>
  <si>
    <t xml:space="preserve">Summe Münchner Förderformel </t>
  </si>
  <si>
    <t>Hilfstabelle zur Berechnung des Faktors Miete</t>
  </si>
  <si>
    <t>Plätze gemäß Betriebserlaubnis:</t>
  </si>
  <si>
    <t>Krippenplätze</t>
  </si>
  <si>
    <t>Kiga-Plätze</t>
  </si>
  <si>
    <t>Plätze für Schulkinder</t>
  </si>
  <si>
    <t>Berechnung des Faktors Miete</t>
  </si>
  <si>
    <t>Faktor Miete</t>
  </si>
  <si>
    <t>Tatsächliche Kaltmiete ohne Mietnebenkosten pro Jahr:</t>
  </si>
  <si>
    <t>Förderbetrag Faktor Miete:</t>
  </si>
  <si>
    <t>AMZ Ja/Nein</t>
  </si>
  <si>
    <t>----</t>
  </si>
  <si>
    <t>Summen</t>
  </si>
  <si>
    <t>Arbeitsmarktzulage</t>
  </si>
  <si>
    <t>MFF-Faktoren (90%)</t>
  </si>
  <si>
    <t>Basiswert</t>
  </si>
  <si>
    <t>AS</t>
  </si>
  <si>
    <t>m platz u3</t>
  </si>
  <si>
    <t>Mietkostenpauschale in Euro pro Kind/Platz für unter 3-Jährige</t>
  </si>
  <si>
    <t>m platz ü3</t>
  </si>
  <si>
    <t>Mietkostenpauschale in Euro pro Kind/Platz für über 3-Jährige Kiga</t>
  </si>
  <si>
    <t>m platz ü3 Hort</t>
  </si>
  <si>
    <t>Mietkostenpauschale in Euro pro Kind/Platz für über 3-Jährige Hort</t>
  </si>
  <si>
    <t>m Altersgemischt</t>
  </si>
  <si>
    <t>Mietkostenpauschale in Euro pro Kind/Platz für über 3-Jährige Altersgemischt</t>
  </si>
  <si>
    <t>Differenzförderung/Drittkindermäßigung (100%)</t>
  </si>
  <si>
    <t>Gesamtförderung</t>
  </si>
  <si>
    <t>S8a</t>
  </si>
  <si>
    <t>Summe</t>
  </si>
  <si>
    <t>Trägeranschrift</t>
  </si>
  <si>
    <t>Kontoinhaberin oder Kontoinhaber</t>
  </si>
  <si>
    <t>Telefonnummer</t>
  </si>
  <si>
    <t>Straße, Haus-Nr.</t>
  </si>
  <si>
    <t>KiBiG.web ID</t>
  </si>
  <si>
    <t>Angaben zum Träger und zur Kindertageseinrichtung</t>
  </si>
  <si>
    <t>Standortfaktor wird beantragt (Standortstatus muss vorliegen)</t>
  </si>
  <si>
    <t>wöchentliche Arbeitszeit in Std.
(WAZ)</t>
  </si>
  <si>
    <t>Ja</t>
  </si>
  <si>
    <t>Variante 2 Eintrag Ü3</t>
  </si>
  <si>
    <t>Funktion laut Arbeitsvertrag</t>
  </si>
  <si>
    <t>Ja / Nein Abfragen</t>
  </si>
  <si>
    <t>Varianten</t>
  </si>
  <si>
    <t>Gewichtungsfaktoren Ü3</t>
  </si>
  <si>
    <t>----------------</t>
  </si>
  <si>
    <t>Variante 1 Eintrag U3</t>
  </si>
  <si>
    <t>Berechnung Abschlagszahlungsbeträge gesamt 90%</t>
  </si>
  <si>
    <t>Name des Kreditinstituts</t>
  </si>
  <si>
    <t>nein</t>
  </si>
  <si>
    <t xml:space="preserve">
Sachkosten estandort</t>
  </si>
  <si>
    <t>Berechnung eöff</t>
  </si>
  <si>
    <t>--------</t>
  </si>
  <si>
    <t>E-Mail-Adresse</t>
  </si>
  <si>
    <t>Datum, Stempel und Unterschrift der Trägervertretung</t>
  </si>
  <si>
    <t>mtl.Kaltmiete ohne Mietnebenkosten abzgl. Untermieteinnahmen:</t>
  </si>
  <si>
    <t>Anleitung</t>
  </si>
  <si>
    <t>Buchungsmonate</t>
  </si>
  <si>
    <t>Fachkraftquote für AS 1:10,5</t>
  </si>
  <si>
    <t>Fachkraftquote für AS 1:10,5 erfüllt</t>
  </si>
  <si>
    <t>Erfahrungsstufe</t>
  </si>
  <si>
    <t>Fachkraftquote für AS 1:10,5 mit Gewichtungsfaktor 4,5</t>
  </si>
  <si>
    <t>ggf. weitere Bemerkungen</t>
  </si>
  <si>
    <t>Fachkraftquote für AS 1:10,5 mit Gewichtungsfaktor 4,5 erfüllt</t>
  </si>
  <si>
    <t>Buchungsmonate kfkont</t>
  </si>
  <si>
    <t>Anzahl Monate BWZ</t>
  </si>
  <si>
    <t xml:space="preserve">AMZ </t>
  </si>
  <si>
    <t>Ergebnis</t>
  </si>
  <si>
    <t>Auszahlung</t>
  </si>
  <si>
    <t>Rückforderung</t>
  </si>
  <si>
    <t xml:space="preserve">Kinder mit Gewichtungsfaktor 4,5 wurden betreut </t>
  </si>
  <si>
    <t>Anzahl der Plätze für Krippenkinder</t>
  </si>
  <si>
    <t>Anzahl der Plätze für Kindergartenkinder</t>
  </si>
  <si>
    <t xml:space="preserve">Anzahl der Plätze für Schulkinder </t>
  </si>
  <si>
    <t>Anzahl der altersgemischten Plätze</t>
  </si>
  <si>
    <t>SozPäd KITZ</t>
  </si>
  <si>
    <t>Gesamtsumme</t>
  </si>
  <si>
    <t>Berechnung endgültiger Zuschuss aus Förderformel</t>
  </si>
  <si>
    <t>Wurde zur Endabrechnung nicht verwendet</t>
  </si>
  <si>
    <t>Mindestwochenstunden Fachkräfte für Anstellungsschlüssel 1:11,0</t>
  </si>
  <si>
    <t>Allgemeine Hinweise:</t>
  </si>
  <si>
    <t>1. Bitte füllen Sie alle weißen Felder - soweit zutreffend - aus!</t>
  </si>
  <si>
    <t>Kontaktdaten:</t>
  </si>
  <si>
    <t>durchschnittliche Wochenstunden der Fachkräfte (FK)</t>
  </si>
  <si>
    <t>Summe der Buchungsmonate Kont-Kinder</t>
  </si>
  <si>
    <t>Verwendete Abkürzungen</t>
  </si>
  <si>
    <t>EA = Endabrechnung</t>
  </si>
  <si>
    <t>AS = Anstellungsschlüssel</t>
  </si>
  <si>
    <t>Zusätzliche Personalwochenstunden über AS 1:10,5</t>
  </si>
  <si>
    <t>Berufsbezeichnung oder Berufsausbildung</t>
  </si>
  <si>
    <t>Abgleich der beantragten Förderung mit Höchstförderbeträgen -  nach Faktoren</t>
  </si>
  <si>
    <t>Faktor eallg</t>
  </si>
  <si>
    <t xml:space="preserve">Faktor eausfall </t>
  </si>
  <si>
    <t>Faktor estandort</t>
  </si>
  <si>
    <t>Faktor eöff</t>
  </si>
  <si>
    <t xml:space="preserve">Faktor kfU3 </t>
  </si>
  <si>
    <t xml:space="preserve">Faktor kfkont </t>
  </si>
  <si>
    <t>MFF = Münchner Förderformel</t>
  </si>
  <si>
    <t>Ziffer 1-11</t>
  </si>
  <si>
    <t>Ziffer 14</t>
  </si>
  <si>
    <t xml:space="preserve">MFF Faktoren </t>
  </si>
  <si>
    <t>Register - Grunddaten_Antrag</t>
  </si>
  <si>
    <t>Register - Personal</t>
  </si>
  <si>
    <t>Höchstbetrag der 
Förderung 
im BWZ</t>
  </si>
  <si>
    <t>tatsächliche
Kosten 
im BWZ</t>
  </si>
  <si>
    <t>AMZ mit anteiligem SV-Betrag</t>
  </si>
  <si>
    <t>Erforderliche Personalwochenstunden für Jahresdurchschnitts-Anstellungsschlüssel 1:10,5</t>
  </si>
  <si>
    <t>Register - beantragte MFF-Förderung</t>
  </si>
  <si>
    <t>www.muenchen.de/foerderformel</t>
  </si>
  <si>
    <t>Hyperlink zur Internetseite:</t>
  </si>
  <si>
    <t>JSZ = Jahressonderzahlung</t>
  </si>
  <si>
    <t>BWZ = Bewilligungszeitraum</t>
  </si>
  <si>
    <t>Angaben zur Arbeitsmarktzulage (AMZ) für Erzieherinnen und Erzieher</t>
  </si>
  <si>
    <t xml:space="preserve">Personal-
Nr.
</t>
  </si>
  <si>
    <t>Ziffer 12</t>
  </si>
  <si>
    <t>Ziffer 13</t>
  </si>
  <si>
    <t>HfK = Haus für Kinder</t>
  </si>
  <si>
    <t>KiTZ = KinderTagesZentrum</t>
  </si>
  <si>
    <t>Anzahl d. Fördermonate (regulär 12)</t>
  </si>
  <si>
    <t>Träger der Einrichtung</t>
  </si>
  <si>
    <t>Einrichtungsstraße</t>
  </si>
  <si>
    <t>Schließtage (ohne Fortbildungstage)</t>
  </si>
  <si>
    <r>
      <t>Betreuungsmonate der</t>
    </r>
    <r>
      <rPr>
        <sz val="11"/>
        <color indexed="8"/>
        <rFont val="Arial"/>
        <family val="2"/>
      </rPr>
      <t xml:space="preserve"> Kont-Kinder  </t>
    </r>
  </si>
  <si>
    <t>Übertrag aus Grundaten_Antrag</t>
  </si>
  <si>
    <t>Übertrag aus Personal</t>
  </si>
  <si>
    <t xml:space="preserve">Vergleichswert der verteilbaren Personalkosten auf die Faktoren </t>
  </si>
  <si>
    <t>Ergänzungskraft</t>
  </si>
  <si>
    <t>AMZ</t>
  </si>
  <si>
    <t>OptiPrax (2. Ausbildungsjahr)</t>
  </si>
  <si>
    <t>Berufspraktikant_in</t>
  </si>
  <si>
    <t xml:space="preserve">2. Der Antrag ist per E-Mail-Anhang an zuschuss.kita.rbs@muenchen.de zu senden </t>
  </si>
  <si>
    <t>Daten zu belegten Plätzen mit Kontingentkindern für den Faktor kfkont</t>
  </si>
  <si>
    <t xml:space="preserve">Altersgemischte Plätze </t>
  </si>
  <si>
    <t>AMZ SV-Pauschale</t>
  </si>
  <si>
    <t>Jahressonderzahlung wurde gezahlt</t>
  </si>
  <si>
    <t>3. Der Antrag ist vollständig und unterschrieben an die u. st. Postanschrift zu senden.</t>
  </si>
  <si>
    <t>Landeshauptstadt München Geschäftsbereich KITA 
Geschäftsstelle Zuschuss 
Bayerstr. 28, 80335 München zuschuss.kita.rbs@muenchen.de 
Fax: 089 233-84379</t>
  </si>
  <si>
    <t>ANÜ</t>
  </si>
  <si>
    <t>Fest</t>
  </si>
  <si>
    <t>Honorar</t>
  </si>
  <si>
    <t>Form des Arbeitsverhältnises</t>
  </si>
  <si>
    <t>Form des Arbeitsver-hältnisses</t>
  </si>
  <si>
    <t>Leitung</t>
  </si>
  <si>
    <t>stellvertretende Leitung</t>
  </si>
  <si>
    <t>Sozialpädagoge_in</t>
  </si>
  <si>
    <t>Zusatzkraft</t>
  </si>
  <si>
    <t>Sprachkraft (Bundesprogramm)</t>
  </si>
  <si>
    <t>Fachkraft</t>
  </si>
  <si>
    <t>Anwesenheiten im BWZ</t>
  </si>
  <si>
    <t>Zuordnung Faktoren</t>
  </si>
  <si>
    <t>eausfall</t>
  </si>
  <si>
    <t>estandort</t>
  </si>
  <si>
    <t>eöff</t>
  </si>
  <si>
    <t>kfu3</t>
  </si>
  <si>
    <t>kfkont</t>
  </si>
  <si>
    <t>Berufsbezeichnung</t>
  </si>
  <si>
    <t>OptiPrax 1. Jahr</t>
  </si>
  <si>
    <t>Assistenzkräfte</t>
  </si>
  <si>
    <t>Vertragsverältnis Assi/Opti</t>
  </si>
  <si>
    <t>Honor</t>
  </si>
  <si>
    <t>Ausbildung</t>
  </si>
  <si>
    <t>OptiPrax 2. Jahr (50% WAZ)</t>
  </si>
  <si>
    <t>OptiPrax 3. Jahr (100% WAZ)</t>
  </si>
  <si>
    <t>Springer-ANÜ</t>
  </si>
  <si>
    <t>Springer-Fest</t>
  </si>
  <si>
    <t>Springer-Honorar</t>
  </si>
  <si>
    <t xml:space="preserve">KiBiG.web-ID </t>
  </si>
  <si>
    <t xml:space="preserve">Berufsgruppen/Bezeichnung </t>
  </si>
  <si>
    <t xml:space="preserve">Grund der Abwesenheit </t>
  </si>
  <si>
    <t xml:space="preserve">Krankheit </t>
  </si>
  <si>
    <t>Kündigung</t>
  </si>
  <si>
    <t>Mutterschutz</t>
  </si>
  <si>
    <t>Beschäftigungsverbot</t>
  </si>
  <si>
    <t>Sonstiges</t>
  </si>
  <si>
    <t>KiBiG.web-
ID</t>
  </si>
  <si>
    <t>SV-Arbeitgeberanteil an AMZ in Prozent</t>
  </si>
  <si>
    <t>Richtwerte S 8b Ausgleich</t>
  </si>
  <si>
    <t>Stufe 1</t>
  </si>
  <si>
    <t>Stufe 2</t>
  </si>
  <si>
    <t>Stufe 3</t>
  </si>
  <si>
    <t>Stufe 4</t>
  </si>
  <si>
    <t>Stufe 5</t>
  </si>
  <si>
    <t>Stufe 6</t>
  </si>
  <si>
    <t>Stufen</t>
  </si>
  <si>
    <t xml:space="preserve">Arbeitgeberaufwand 
für MFF </t>
  </si>
  <si>
    <t>Funktion Arbeitsvertrag FK</t>
  </si>
  <si>
    <t>Funktion Arbeitsvertrag EK</t>
  </si>
  <si>
    <t>A</t>
  </si>
  <si>
    <t>B</t>
  </si>
  <si>
    <t>C</t>
  </si>
  <si>
    <t>Optiprax im Anstellungsschlüssel</t>
  </si>
  <si>
    <t>BayKiBiG-Wert</t>
  </si>
  <si>
    <t xml:space="preserve">Sachkosten </t>
  </si>
  <si>
    <t>Übertrag aus Register Grunddaten_Antrag</t>
  </si>
  <si>
    <t>Differenzwerte zwischen S 8a und S 8b inkl. JSZ</t>
  </si>
  <si>
    <t>AMZ für Erzieher/in wurde tatsächlich ausbezahlt</t>
  </si>
  <si>
    <t>Angaben zu den Personalkosten</t>
  </si>
  <si>
    <t>Angaben zum Mietverhältnis und/ oder zum Faktor estandort</t>
  </si>
  <si>
    <t>Angaben zur gültigen Betriebserlaubnis</t>
  </si>
  <si>
    <t>Angaben aus dem Abrechnungsprogramm KiBiG.web (BayKiBiG)</t>
  </si>
  <si>
    <t>ZVK = Zusatzversorgungskasse</t>
  </si>
  <si>
    <t>AMZ = Arbeitsmarktzulage für Erzieherinnen und Erzieher</t>
  </si>
  <si>
    <t>U3-Kind = Kind unter drei Jahren mit GWF 2,0 oder 4,5</t>
  </si>
  <si>
    <t>Ü3-Kind = Kind über drei Jahren mit GWF 1,0 / 1,2/ 1,3 oder 4,5 (Ü3)</t>
  </si>
  <si>
    <t>Ausblenden</t>
  </si>
  <si>
    <t>Gesamtsumme der AMZ laut Antrag des Trägers</t>
  </si>
  <si>
    <t>Plausibilisierte Summe der AMZ</t>
  </si>
  <si>
    <t>Abgeglichener plausibilisierter Endbetrag</t>
  </si>
  <si>
    <r>
      <rPr>
        <b/>
        <sz val="11"/>
        <rFont val="Arial"/>
        <family val="2"/>
      </rPr>
      <t xml:space="preserve">Antrag </t>
    </r>
    <r>
      <rPr>
        <sz val="11"/>
        <rFont val="Arial"/>
        <family val="2"/>
      </rPr>
      <t>Ausgleichs-betrag für S8b = Differenz zwischen S8a und S8b
Jahresbetrag (Arbeitgeber-Brutto) inkl. JSZ</t>
    </r>
  </si>
  <si>
    <r>
      <rPr>
        <b/>
        <sz val="11"/>
        <rFont val="Arial"/>
        <family val="2"/>
      </rPr>
      <t>Prüfspalte</t>
    </r>
    <r>
      <rPr>
        <sz val="11"/>
        <rFont val="Arial"/>
        <family val="2"/>
      </rPr>
      <t xml:space="preserve">
Ausgleichsbetrag
Sozialabgaben 
zwischen S8a und S8b Jahresbetrag (in €) inkl. JSZ</t>
    </r>
  </si>
  <si>
    <t>Gesamtsumme der S8 a und S8 b laut Antrag des Trägers</t>
  </si>
  <si>
    <t>Plausibilisierte Summe der S8 a und S8 b</t>
  </si>
  <si>
    <t>Abgeglichener plausibilisierter Betrag</t>
  </si>
  <si>
    <t>SV = Sozialversicherungen</t>
  </si>
  <si>
    <t xml:space="preserve">Vergütungs-gruppe </t>
  </si>
  <si>
    <t>durchschnitt-liche Arbeitszeit im BWZ in Wochen-stunden</t>
  </si>
  <si>
    <t>WAZ = Wochenarbeitszeit</t>
  </si>
  <si>
    <t>Personalkostenausgleich für S8b</t>
  </si>
  <si>
    <r>
      <rPr>
        <b/>
        <sz val="11"/>
        <rFont val="Arial"/>
        <family val="2"/>
      </rPr>
      <t>Prüfspalte</t>
    </r>
    <r>
      <rPr>
        <sz val="11"/>
        <rFont val="Arial"/>
        <family val="2"/>
      </rPr>
      <t xml:space="preserve">
SV-Arbeitgeberanteil Ausgleich S8b 
in Prozent</t>
    </r>
  </si>
  <si>
    <t xml:space="preserve">Tatsächlicher AG SV-Anteil auf die AMZ in Prozent </t>
  </si>
  <si>
    <t>Springer</t>
  </si>
  <si>
    <t>dauerhafter Einrichtungswechsel</t>
  </si>
  <si>
    <t>Betrag der ausbezahlten AMZ der in der Jahressonder-
zahlung enthalten ist (ohne SV-Anteil)</t>
  </si>
  <si>
    <t xml:space="preserve">Prüftabelle AMZ </t>
  </si>
  <si>
    <t>Personal-Nr.</t>
  </si>
  <si>
    <t xml:space="preserve">Vergütungsgruppe </t>
  </si>
  <si>
    <t>GPWS</t>
  </si>
  <si>
    <t xml:space="preserve">Schließtage    
</t>
  </si>
  <si>
    <t xml:space="preserve">Antragsdaten vom Träger </t>
  </si>
  <si>
    <t>S8b-S8a</t>
  </si>
  <si>
    <t>Gew. Buchungs</t>
  </si>
  <si>
    <r>
      <rPr>
        <b/>
        <sz val="11"/>
        <rFont val="Arial"/>
        <family val="2"/>
      </rPr>
      <t xml:space="preserve">Antrag
</t>
    </r>
    <r>
      <rPr>
        <sz val="11"/>
        <rFont val="Arial"/>
        <family val="2"/>
      </rPr>
      <t xml:space="preserve">Höhe der AMZ anteilig zur Arbeitszeit Jahresbetrag (in €) </t>
    </r>
  </si>
  <si>
    <r>
      <rPr>
        <b/>
        <sz val="11"/>
        <color theme="1"/>
        <rFont val="Arial"/>
        <family val="2"/>
      </rPr>
      <t xml:space="preserve">Antrag </t>
    </r>
    <r>
      <rPr>
        <sz val="11"/>
        <color theme="1"/>
        <rFont val="Arial"/>
        <family val="2"/>
      </rPr>
      <t xml:space="preserve">Jahressonder-zahlung auf die AMZ ohne SV-Anteil </t>
    </r>
  </si>
  <si>
    <r>
      <rPr>
        <b/>
        <sz val="11"/>
        <rFont val="Arial"/>
        <family val="2"/>
      </rPr>
      <t>Prüfspalte</t>
    </r>
    <r>
      <rPr>
        <sz val="11"/>
        <rFont val="Arial"/>
        <family val="2"/>
      </rPr>
      <t xml:space="preserve">
AMZ anteilig zur Arbeitszeit
inkl. Jahressonder-zahlung </t>
    </r>
  </si>
  <si>
    <r>
      <rPr>
        <b/>
        <sz val="11"/>
        <rFont val="Arial"/>
        <family val="2"/>
      </rPr>
      <t>Antrag</t>
    </r>
    <r>
      <rPr>
        <sz val="11"/>
        <rFont val="Arial"/>
        <family val="2"/>
      </rPr>
      <t xml:space="preserve">
SV-Arbeitgeberanteil auf AMZ </t>
    </r>
  </si>
  <si>
    <r>
      <rPr>
        <b/>
        <sz val="11"/>
        <rFont val="Arial"/>
        <family val="2"/>
      </rPr>
      <t>Prüfspalte</t>
    </r>
    <r>
      <rPr>
        <sz val="11"/>
        <rFont val="Arial"/>
        <family val="2"/>
      </rPr>
      <t xml:space="preserve"> 
SV-Arbeitgeber-anteil bezogen auf AMZ inkl. Jahressonderzahlung</t>
    </r>
  </si>
  <si>
    <t>Sachkosten Faktor estandort</t>
  </si>
  <si>
    <t>Personalkosten des sonstigen Personals (nur bei eausfall, estandort und kfkont)</t>
  </si>
  <si>
    <t>Vergütungssystem</t>
  </si>
  <si>
    <t>noch zu 
verteilende
Stunden</t>
  </si>
  <si>
    <t>wöchentliche  Arbeitszeit
(in Stunden)
Vollzeit: grundsätzlich  39 Std., bei einem anderen VZÄ</t>
  </si>
  <si>
    <t>Vergütungssystem:</t>
  </si>
  <si>
    <t xml:space="preserve">mtl. Kaltmiete </t>
  </si>
  <si>
    <t>KiTZ Fachkraft</t>
  </si>
  <si>
    <t>Endabrechnung auf Leistungen für den Bewilligungszeitraum (BWZ) 1. Januar - 31. Dezember 2019</t>
  </si>
  <si>
    <t>Sozialindex in 2019 lag vor</t>
  </si>
  <si>
    <t>Ausbildungsfaktor</t>
  </si>
  <si>
    <t>Mai 2019</t>
  </si>
  <si>
    <t>Auszubildende SPS 1. Jahr</t>
  </si>
  <si>
    <t>Auszubildende SPS 2. Jahr</t>
  </si>
  <si>
    <t>Assistenzkraft</t>
  </si>
  <si>
    <t>PLZ, Ort</t>
  </si>
  <si>
    <r>
      <t xml:space="preserve">aktuelle </t>
    </r>
    <r>
      <rPr>
        <b/>
        <sz val="10"/>
        <rFont val="Arial"/>
        <family val="2"/>
      </rPr>
      <t>monatliche</t>
    </r>
    <r>
      <rPr>
        <sz val="10"/>
        <rFont val="Arial"/>
        <family val="2"/>
      </rPr>
      <t xml:space="preserve"> Kaltmiete ohne Nebenkosten (abzüglich Untermieteinnahmen)   </t>
    </r>
  </si>
  <si>
    <t>Faktor Ausbildung wird beantragt</t>
  </si>
  <si>
    <t>BayKiBiG-Grundförderung laut der Bewilligung der BayKiBiG-Endabrechnung (siehe Anleitung)</t>
  </si>
  <si>
    <t>durchschnittliche gewichtete Buchungszeit (inkl. Ferienbuchung) im BWZ 2019 (siehe Anleitung)</t>
  </si>
  <si>
    <t>durchschnittliche Gesamtpersonalwochenstunden im BWZ 2019 (siehe Anleitung)</t>
  </si>
  <si>
    <t>durchschnittliche Wochenstunden der Fachkräfte (FK) (siehe Anleitung)</t>
  </si>
  <si>
    <t xml:space="preserve">Der BWZ 2019 liegt im Übergangszeitraum </t>
  </si>
  <si>
    <t xml:space="preserve">Anteil der Migrationskinder betrug in den Monaten Oktober bis Dezember 2018 durchschnittlich mindestens 50 Prozent </t>
  </si>
  <si>
    <t>Bitte auf den Nachweisen die KiBiG.web IDs der Kinder eintragen</t>
  </si>
  <si>
    <t>BayKiBiG-Förderung  der U3-Kinder für Faktor kfU3</t>
  </si>
  <si>
    <t xml:space="preserve">Faktor Ausbildung </t>
  </si>
  <si>
    <t>Art der Ausbildung</t>
  </si>
  <si>
    <t>Anzahl der Monate</t>
  </si>
  <si>
    <t>Beantragung Sachmittel zur Umsetzung des KiTZ-Konzeptes</t>
  </si>
  <si>
    <t>Abgleich</t>
  </si>
  <si>
    <t xml:space="preserve">Tatsächliche Sachmittel in €
</t>
  </si>
  <si>
    <t>ja</t>
  </si>
  <si>
    <t>Zuordnung zu Förderfaktoren</t>
  </si>
  <si>
    <t>Jan 2019</t>
  </si>
  <si>
    <t>Feb 2019</t>
  </si>
  <si>
    <t>Mrz 2019</t>
  </si>
  <si>
    <t>Apr 2019</t>
  </si>
  <si>
    <t>Jun 2019</t>
  </si>
  <si>
    <t>Jul 2019</t>
  </si>
  <si>
    <t>Aug 2019</t>
  </si>
  <si>
    <t>Sep 2019</t>
  </si>
  <si>
    <t>Okt 2019</t>
  </si>
  <si>
    <t>Nov 2019</t>
  </si>
  <si>
    <t>Dez 2019</t>
  </si>
  <si>
    <t>Anrechenbare Wochenstunden für Faktoren der MFF</t>
  </si>
  <si>
    <t>kfU3</t>
  </si>
  <si>
    <t>Plausibilität</t>
  </si>
  <si>
    <t xml:space="preserve">BayKiBiG-Förderung für U3 Kinder der LHM </t>
  </si>
  <si>
    <t>------------------</t>
  </si>
  <si>
    <t>Arbeitgeber-
aufwand für MFF</t>
  </si>
  <si>
    <t xml:space="preserve">Arbeitgeberaufwand für MFF </t>
  </si>
  <si>
    <t>Faktor Ausbildung</t>
  </si>
  <si>
    <t>Gesamtsumme der Personalkosten auf Faktoren verteilt</t>
  </si>
  <si>
    <t>Vergütungsgruppe</t>
  </si>
  <si>
    <t>Gesamtsumme der beantragten MFF-Förderung  Endabrechnung BWZ 2019</t>
  </si>
  <si>
    <r>
      <t xml:space="preserve">Personalkosten KiTZ-Fachkraft </t>
    </r>
    <r>
      <rPr>
        <b/>
        <sz val="12"/>
        <rFont val="Arial"/>
        <family val="2"/>
      </rPr>
      <t>(inkl. Sachkosten)</t>
    </r>
  </si>
  <si>
    <t>Wöchent-liche Arbeitszeit in Stunden (WAZ) im BWZ 2019</t>
  </si>
  <si>
    <t>mit Pauschale JSZ</t>
  </si>
  <si>
    <t>Ohne Pauschale JSZ</t>
  </si>
  <si>
    <t>mit Pauschale Ohne Jsz</t>
  </si>
  <si>
    <t>Ohne Pauschale ohne jsz</t>
  </si>
  <si>
    <t>Mit Pauschale JSZ</t>
  </si>
  <si>
    <t>JMB 2019 in S 8a (39h WAZ)</t>
  </si>
  <si>
    <t>Anwesenheit im BWZ 2019
(Monatsanzahl
max. 12 )</t>
  </si>
  <si>
    <t>Richtwerte 
2019</t>
  </si>
  <si>
    <t>Anwesenheit im BWZ 2019
(Monatsanzahl,
Max. 12 )</t>
  </si>
  <si>
    <t>Gesamtergebnis BWZ 2019</t>
  </si>
  <si>
    <t>Abschlagssummen 2019</t>
  </si>
  <si>
    <t>Endabrechnung 2019</t>
  </si>
  <si>
    <t>Berechnungsprotokoll – Anlage zum Prüfprotokoll – EA 2019</t>
  </si>
  <si>
    <t>Basiswert im BWZ 2019</t>
  </si>
  <si>
    <t>BayKiBiG-Förderung im BWZ 2019 (Übertrag aus Tabelle Grunddaten; Vergleich mit KiBiG.web )</t>
  </si>
  <si>
    <t>Assistenzkraft 1. Jahr</t>
  </si>
  <si>
    <t>Assistenzkraft 2. Jahr</t>
  </si>
  <si>
    <t>Optiprax 1. Jahr</t>
  </si>
  <si>
    <t>SPS 1. Jahr</t>
  </si>
  <si>
    <t>SPS 2. Jahr</t>
  </si>
  <si>
    <t>Abgeglichene erstattungsfähige Kosten Ausbildungsfaktor</t>
  </si>
  <si>
    <t>S</t>
  </si>
  <si>
    <t>BayKiBiG-Förderzeitraum in Monaten im BWZ 2019</t>
  </si>
  <si>
    <t>BayKiBiG- U3 Förderung unterjährig</t>
  </si>
  <si>
    <t>BayKiBiG-Förderung  der U3-Kinder für Faktor kfU3 bei bei abweichenden Förderzeiträumen</t>
  </si>
  <si>
    <t>reguläre Wochenarbeitszeit einer Vollzeitkraft</t>
  </si>
  <si>
    <t>Standortfaktor liegt vor</t>
  </si>
  <si>
    <t>Tatsächlich verteilte Personalkosten inkl. Sachkosten</t>
  </si>
  <si>
    <t xml:space="preserve">Arbeitgeber-aufwand im BWZ (inkl. Jahres-sonderzahlung) 
</t>
  </si>
  <si>
    <t>IBAN (DEXX XXXX XXXX XXXX XXXX XX)</t>
  </si>
  <si>
    <t>Berechnung der Personalstunden bei einem besseren Anstellungsschlüssel (AS) von 1:10,5</t>
  </si>
  <si>
    <t>Faktor Ausbildung Januar 2019 - August 2019 (8 Monate)</t>
  </si>
  <si>
    <t>Maximal Beträge 80% ohne SV-Anteil 
Jan - Aug 2019</t>
  </si>
  <si>
    <t>Maximal Beträge 80% ohne SV-Anteil 
Sept. - Dez. 2019</t>
  </si>
  <si>
    <t>4 Monate</t>
  </si>
  <si>
    <t>8 Monate</t>
  </si>
  <si>
    <t>Erstattungsfähige Kosten im Rahmen des Ausbildungsfaktors (80%) lt. Antrag des Trägers</t>
  </si>
  <si>
    <t>Pauschalbetrag (80 %) automatisch festgelegt inkl. SV-Anteil</t>
  </si>
  <si>
    <t>Plausibilisierter Arbeitgeberaufwand inkl. SV-Anteil 80% nach jeweiliger Monatsanzahl</t>
  </si>
  <si>
    <t>inkl. Pauschale SV-Anteil 20,678%</t>
  </si>
  <si>
    <t>inkl. Pauschale 
SV-Anteil 20,678%</t>
  </si>
  <si>
    <t>Tatsächlicher Arbeitgeberaufwand im BWZ 2019 inkl. SV-Arbeitgeberanteil lt. Antrag des Trägers</t>
  </si>
  <si>
    <t xml:space="preserve">Daten aus der BayKiBiG Endabrechnung 2019 der Förderkommune Landeshauptstadt München </t>
  </si>
  <si>
    <t>Einzelbewilligung BayKiBiG Endabrechnung 2019 (Förderkommune Landeshauptstadt München)</t>
  </si>
  <si>
    <t>Für die Abrechnung des Faktors kfkont ist die Eintragung der anonymisierten Daten der im BWZ 2019 betreuten Kont-Kinder erforderlich. Sofern die Nachweise für die beantragten Kinder noch nicht eingereicht wurden, sind diese dem Antrag beizufügen. 
Nachweise können sein: 
- Vorschlag für die Belegung eines Kont-Platzes der Bezirkssozialarbeit (BSA) 
- Nachweisformular von KITA-GSt-Z "Nachweisformular estandort/kfkont" (s. o. g. Internetseite)</t>
  </si>
  <si>
    <t>Anzeige, ob die Fachkraftquote bezogen auf den Anstellungsschlüssel 1:10,50 im jährlichen Durchschnitt im BWZ erfüllt war.</t>
  </si>
  <si>
    <t>Register AMZ</t>
  </si>
  <si>
    <t>Tabelle 2
Eintragung der gesamten Fachkräfte nach § 16 AVBayKiBiG (auch Springer FK)</t>
  </si>
  <si>
    <t>Tabelle 3
Eintragung der gesamten Ergänzungskräfte nach § 16 AVBayKiBiG und Personal das zum  Anstellungsschlüssel anrechenbar ist (auch Springer-EK)</t>
  </si>
  <si>
    <t>Tabelle 4
OptiPrax-Kräfte im Anstellungsschlüssel</t>
  </si>
  <si>
    <t>Arbeitgeberaufwand/ Honorarkosten im BWZ (Anrechenbar sind Kosten für unmittelbare Tätigkeiten am Kind)</t>
  </si>
  <si>
    <t>Noch zu verteilende Personalkosten, falls noch zu verteilende Stunden übrig sind</t>
  </si>
  <si>
    <t>Wochen-
arbeitszeit in Std. (WAZ)</t>
  </si>
  <si>
    <t>Gesamtsumme der verteilten Personalkosten auf MFF-Faktoren je päd. Personal</t>
  </si>
  <si>
    <t>Gesamtsumme der verteilten Personalwochen-stunden auf MFF-Faktoren je päd. Personal</t>
  </si>
  <si>
    <t>Gesamtsumme der verteilten Personal-wochenstunden auf MFF-Faktoren je päd. Personal</t>
  </si>
  <si>
    <t>Tatsächlicher Arbeitgeber-aufwand im BWZ 2019 inkl. SV-Arbeitgeberanteil</t>
  </si>
  <si>
    <t xml:space="preserve">kfkont - Gemeinschaftsunterkunft/ Wohnungslosenhilfe
kfkont - BSA Nachweis
</t>
  </si>
  <si>
    <t>Vergleichswert für die Personalkosten in S8a (ohne AMZ) Vollzeit mit 39h WAZ und 12 Monate</t>
  </si>
  <si>
    <t xml:space="preserve">SUMME aus Tabelle 2 bis 4 </t>
  </si>
  <si>
    <t>Tabellen 2 bis 4 zur Eintragung der Personaldaten des gesamten beschäftigten pädagogischen Personals nach § 16 AVBayKiBiG (Fach- und Ergänzungskräfte) der Kindertageseinrichtung im BWZ 2019 (auch Springer) und Personal, das zum Anstellungsschlüssel anrechenbar ist (z. B. OptiPrax 2. Ausbildungsjahr), mit der Zuordnung zu den einzelnen beantragten 
MFF-Faktoren. Hier keine Eintragung der Assistenzkräfte.</t>
  </si>
  <si>
    <t>Arbeitgeberaufwand/ Honorarkosten im BWZ</t>
  </si>
  <si>
    <t>reguläre Wochenarbeits-zeit einer Vollzeit-kraft</t>
  </si>
  <si>
    <t>Erfahrungs-stufe</t>
  </si>
  <si>
    <t>Differenzbetrag zw. S8a und S8b: Arbeitsentgelt  (ohne AMZ)
je Mitarbeiter*in inkl. JSZ</t>
  </si>
  <si>
    <t>Automatische Berechnung
Pauschale des 
angefallenen 
SV-Anteils auf den Differenzbetrag zwischen S8a 
und  S8b (je Mitarbeiter*in)</t>
  </si>
  <si>
    <t xml:space="preserve">Beträge der ausbezahlten  AMZ ohne JSZ und ohne SV-Anteil
im BWZ 2019
(je Mitarbeiter*in)
</t>
  </si>
  <si>
    <t>automatische Berechnung
Pauschale des 
angefallenen SV-Anteils auf die AMZ
(je Mitarbeiter*in)</t>
  </si>
  <si>
    <t>Abrechnung des tatsächlich bezahlten 
AG SV-Anteils auf die gesamte AMZ
inkl. JSZ (je Mitarbeiter*in)</t>
  </si>
  <si>
    <t>Ansprechpartner*in</t>
  </si>
  <si>
    <t>Anteil der Migrationskinder, Integrationskinder und kfkont-Kinder betrug in den Monaten Oktober bis Dezember 2018 gesamt durchschnittlich mindestens 50 Prozent</t>
  </si>
  <si>
    <t>Wurde eine zusätzliche Altersvorsorge z.B. ZVK gezahlt</t>
  </si>
  <si>
    <t>Register - AMZ und S8b-Ausgleich</t>
  </si>
  <si>
    <t>Register S8b-Ausgleich</t>
  </si>
  <si>
    <r>
      <t>AMZ SV-Pauschale (20,678 Prozent)</t>
    </r>
    <r>
      <rPr>
        <sz val="10"/>
        <color rgb="FFFF0000"/>
        <rFont val="Arial"/>
        <family val="2"/>
      </rPr>
      <t xml:space="preserve"> </t>
    </r>
    <r>
      <rPr>
        <sz val="10"/>
        <rFont val="Arial"/>
        <family val="2"/>
      </rPr>
      <t>wird beantragt. Diese gilt gleichzeitig auch für S8b-Ausgleich</t>
    </r>
  </si>
  <si>
    <t>S8b-Ausgleich</t>
  </si>
  <si>
    <t xml:space="preserve">S8b-Ausgleich für den BWZ September - Dezember 2019 </t>
  </si>
  <si>
    <t>S8b-Ausgleich für den BWZ Januar - Dezember 2019</t>
  </si>
  <si>
    <t>Arbeitgeberaufwand für MFF ohne AMZ Erzieher ohne S8b-Ausgleich</t>
  </si>
  <si>
    <r>
      <t xml:space="preserve">Arbeitgeber-aufwand im BWZ (inkl. Jahressonder-zahlung) 
</t>
    </r>
    <r>
      <rPr>
        <b/>
        <sz val="12"/>
        <rFont val="Arial"/>
        <family val="2"/>
      </rPr>
      <t>inkl. AMZ Erzieher und
ggf. inkl. S8b-Ausgleich</t>
    </r>
  </si>
  <si>
    <t>Abrechnung des tatsächlich bezahlten 
AG SV-Anteils auf den Differenzbe-trag zwischen S8a 
und S8b (je Mitarbeiter*in)</t>
  </si>
  <si>
    <t>Tatsächlicher AG SV-Anteil auf den Differenzbetrag zwischen S8a und S8b in %</t>
  </si>
  <si>
    <t>Prüfspalte tatsächlicher AG 
SV-Anteil auf den Differenzbetrag zwischen S8a 
und S8b %</t>
  </si>
  <si>
    <t>Betrag S8b-Ausgleich</t>
  </si>
  <si>
    <r>
      <rPr>
        <b/>
        <sz val="11"/>
        <rFont val="Arial"/>
        <family val="2"/>
      </rPr>
      <t>Prüfspalte</t>
    </r>
    <r>
      <rPr>
        <sz val="11"/>
        <rFont val="Arial"/>
        <family val="2"/>
      </rPr>
      <t xml:space="preserve"> 
S8b 
SV-Arbeitgeberanteil</t>
    </r>
  </si>
  <si>
    <t>Gesamtsumme (MFF Faktoren, AMZ; S8b-Ausgleich)</t>
  </si>
  <si>
    <t>MFF-Faktoren/ SozPäd KITZ</t>
  </si>
  <si>
    <t>wöchentliche Arbeitszeit
(in Stunden)
Vollzeit: grundsätzlich  39 Std., bei einem anderen VZÄ</t>
  </si>
  <si>
    <t>Prüftabelle S8b-S8a-Ausgleich</t>
  </si>
  <si>
    <r>
      <rPr>
        <b/>
        <sz val="11"/>
        <rFont val="Arial"/>
        <family val="2"/>
      </rPr>
      <t xml:space="preserve">Antrag 
</t>
    </r>
    <r>
      <rPr>
        <sz val="11"/>
        <rFont val="Arial"/>
        <family val="2"/>
      </rPr>
      <t>Ausgleich S8b SV- Arbeitgerberanteil</t>
    </r>
  </si>
  <si>
    <t>Ziffer 12-20</t>
  </si>
  <si>
    <r>
      <t xml:space="preserve">Der Förderzeitraum für den </t>
    </r>
    <r>
      <rPr>
        <b/>
        <sz val="12"/>
        <rFont val="Arial"/>
        <family val="2"/>
      </rPr>
      <t>Bewilligungszeitraum MFF</t>
    </r>
    <r>
      <rPr>
        <sz val="12"/>
        <rFont val="Arial"/>
        <family val="2"/>
      </rPr>
      <t xml:space="preserve"> beträgt grundsätzlich 12 Monate. Eine abweichende Anzahl der Fördermonate ist bei Neueröffnung oder Schließung der Kindertageseinrichtung im 
BWZ 2019 sowie bei Neueintritt in die MFF zum 01.09.2019 möglich. Bitte benutzen Sie das Dropdown-Feld zur Änderung der Fördermonate.</t>
    </r>
  </si>
  <si>
    <t>Ziffer 15-16</t>
  </si>
  <si>
    <t>Ziffer 17</t>
  </si>
  <si>
    <t>Ziffer 18-20</t>
  </si>
  <si>
    <t>So generieren Sie das vollständige Analyseblatt:</t>
  </si>
  <si>
    <t>Ziffer 21-22</t>
  </si>
  <si>
    <t>Ziffer 23-26</t>
  </si>
  <si>
    <t>Ziffer 27</t>
  </si>
  <si>
    <t>Ziffer 28-29</t>
  </si>
  <si>
    <t>Ziffer 30-33</t>
  </si>
  <si>
    <t>Ziffer 34-35</t>
  </si>
  <si>
    <t>Ziffer 37-39</t>
  </si>
  <si>
    <t>Ziffer 40-42</t>
  </si>
  <si>
    <t>Ziffer 43-45</t>
  </si>
  <si>
    <t>Ziffer 46</t>
  </si>
  <si>
    <t>Ziffer 47</t>
  </si>
  <si>
    <t>In diesem Feld werden die erforderlichen Gesamtpersonalwochenstunden zur Erfüllung der allgemeinen Fördervoraussetzung des Anstellungsschlüssels 1:10,50 aus den eingegebenen Grunddaten errechnet. 
Formel: durchschnittliche gewichtete Buchungszeit x 5 Tage / 10,50</t>
  </si>
  <si>
    <t>Ziffer 49</t>
  </si>
  <si>
    <t>Ziffer 48</t>
  </si>
  <si>
    <t>Ziffer 50-51</t>
  </si>
  <si>
    <t>Ziffer 52</t>
  </si>
  <si>
    <t>Ziffer 53-54</t>
  </si>
  <si>
    <t>Tabelle 5</t>
  </si>
  <si>
    <t>Ziffer 55-57</t>
  </si>
  <si>
    <t>Ziffer 58</t>
  </si>
  <si>
    <t>Ziffer 59-61</t>
  </si>
  <si>
    <t>Ziffer 62-64</t>
  </si>
  <si>
    <t xml:space="preserve">Tabelle 3 -  Eintragung der Ergänzungskräfte. 
Spalten B-F siehe Ziffern 59-61
Spalte L - Arbeitgeberaufwand (= insb. Arbeitsentgelt und Arbeitgeberanteile zur Sozial-, Unfallversicherung und ggf. Zusatzversorgung) mit Jahressonderzahlung - hier sind 100 Prozent der Personalkosten (abzüglich Erstattungen, z.B. von der Krankenkasse) einzutragen. Bitte beachten Sie die Hinweise zur Personaleintragung zur MFF-EA 2019 (Stand: 11.02.2020).
Spalten N-U - siehe Ziffern 59-61
</t>
  </si>
  <si>
    <t xml:space="preserve">Tabelle 1      
Abrechnungsdaten des fachfremden Personals für die möglichen Förderfaktoren 
eausfall, estandort, kfkont </t>
  </si>
  <si>
    <t>Tabelle 5                                                
Höchstbeträge der MFF Faktoren</t>
  </si>
  <si>
    <t>Ziffer 65-67</t>
  </si>
  <si>
    <t>Ziffer 68</t>
  </si>
  <si>
    <t>Hier bilden sich die Summen aus den Tabellen 2 bis 4.</t>
  </si>
  <si>
    <t>Tabelle 6 
Faktor Ausbildung Januar 2019 - August 2019</t>
  </si>
  <si>
    <t>Tabelle 7
Faktor Ausbildung September - Dezember 2019</t>
  </si>
  <si>
    <t>Ziffer 69-74</t>
  </si>
  <si>
    <t>Tabelle 8
Abrechung der Personalkosten der KiTZ Fachkraft (nur wenn im BWZ 2019 vorhanden)</t>
  </si>
  <si>
    <t>Tabelle 9
Beantragung der Sachmittel für KiTZ-Konzept 
(nur wenn im BWZ 2019 vorhanden)</t>
  </si>
  <si>
    <t>Ziffer 75-78</t>
  </si>
  <si>
    <t>Ziffer 79-81</t>
  </si>
  <si>
    <t>wöchentliche Arbeitszeit in Std. (WAZ)</t>
  </si>
  <si>
    <t>Ziffer 82-84</t>
  </si>
  <si>
    <t>Ziffer 85</t>
  </si>
  <si>
    <t>Ziffer 88-89</t>
  </si>
  <si>
    <t>Die Erklärung zur wahrheitsgemäßgen Eintragung der Angaben wird hier für den gesamten Antrag abgegeben (Ziffer 88) 
und von der Unterschriftsbefugten bzw. dem Unterschriftsbefugten unterzeichnet (Ziffer 89).</t>
  </si>
  <si>
    <t>Ziffer 86-87</t>
  </si>
  <si>
    <t>Für das Eintragen der Daten benötigen Sie hier das vollständige Analyseblatt BWZ 2019 aus dem KiBiG.web.</t>
  </si>
  <si>
    <t>Tabelle 5 zeigt Ihnen für jeden beantragten Faktor den errechneten Höchstbetrag (bezogen auf die Anzahl der Fördermonate). Darunter sind die je Faktor tatsächlich verteilten Personalkosten aus den Tabellen 1-4 ersichtlich. Die bis zu den Höchstbeträgen noch nicht ausgeschöpfen Personalkosten sehen Sie in der Zeile darunter.</t>
  </si>
  <si>
    <t xml:space="preserve">Hier tragen Sie das eingesetzte fachfremde Personal, soweit dieses unmittelbar mit den Kindern arbeitete, zur Abrechnung für die möglichen Faktoren eausfall, estandort oder kfkont ein. 
Hierbei ist die für den BWZ 2019 gültige Übersicht zur Personalanerkennung vom November 2018 zu beachten. Die eingesetzten Mitarbeiter*innen müssen die dort vorgeschriebenen Vorgaben erfüllen und insbesondere für die Umsetzung der pädagogischen Konzeption der Kindertageseinrichtung geeignet gewesen sein. </t>
  </si>
  <si>
    <t>Der Höchstbetrag je beantragten Faktor, bezogen auf die Fördermonnate, ist in Spalte D dargestellt. Daneben sind in Spalte E die eingegebenen tatsächlichen Kosten je Faktor dargestellt. Die Werte aus diesen Spalten werden abgeglichen. Spalte F weißt den ermittelten Wert dann als den hier beantragten Förderbetrag je Faktor aus.</t>
  </si>
  <si>
    <t xml:space="preserve">
</t>
  </si>
  <si>
    <r>
      <t xml:space="preserve">Für die MFF Endabrechnung 2019 sind die Zuschussrichtlinien vom 18.09.2018, 21.05.2019 und 06.11.2019 gültig. Die Zuschussrichtlinien zur MFF-Förderung sind online abrufbar unter dem Link: muenchen.de/foerderformel
Diese Anleitung zum Antragsformular Teil 2 enthält Hinweise und Informationen zum Ausfüllen dieses Endabrechnungsantrags. Die Zeilen sind in Spalte A jeweils mit Randziffern gekennzeichnet. Diese dienen zur Orientierung in der Anleitung.  
Im Antrag sind nur die weißen Felder befüllbar bzw. auswählbar (Dropdown-Felder). In den grauen Feldern sind Bezeichnungen bzw. automatische Berechnungen hinterlegt und daher zur Bearbeitung gesperrt.  Der Antrag ist in mehrere Register (Tabellenblätter) untergliedert. Bitte gehen Sie beim Ausfüllen des Antrages jedes Register durch und tragen Sie die erforderlichen Daten ein. </t>
    </r>
    <r>
      <rPr>
        <b/>
        <sz val="12"/>
        <color rgb="FFFF0000"/>
        <rFont val="Arial"/>
        <family val="2"/>
      </rPr>
      <t xml:space="preserve">
</t>
    </r>
    <r>
      <rPr>
        <b/>
        <sz val="12"/>
        <rFont val="Arial"/>
        <family val="2"/>
      </rPr>
      <t xml:space="preserve">
Bitte senden Sie uns den vollständig ausgefüllten und unterzeichneten Antrag per Post oder eingescannt als PDF-Datei per E-Mail zu. Zusätzlich senden Sie bitte die Antragsdatei als beschreibbare Excel-Datei per E-Mail an: zuschuss.kita.rbs@muenchen.de. Sie haben die Möglichkeit für Ihren Antrag</t>
    </r>
    <r>
      <rPr>
        <b/>
        <sz val="12"/>
        <color rgb="FFFF0000"/>
        <rFont val="Arial"/>
        <family val="2"/>
      </rPr>
      <t xml:space="preserve"> </t>
    </r>
    <r>
      <rPr>
        <b/>
        <sz val="12"/>
        <rFont val="Arial"/>
        <family val="2"/>
      </rPr>
      <t>einen eigenen Passwortschutz einzurichten. Bitte übermitteln Sie uns das Passwort getrennt von der Antragsdatei.
Die Bedeutung der verwendeten Abkürzungen finden Sie am Ende dieser Anleitung.</t>
    </r>
  </si>
  <si>
    <t>Die erforderlichen KiBiG.web-Daten entnehmen Sie aus der Bewilligung der BayKiBiG Endabrechnung 2019. 
Bei Ziffer 15 bzw. 16 berechnet sich der Wert BayKiBiG-Förderung für U3-Kinder für den Faktor kfu3 automatisch (siehe Erläuterung zu Ziffern 15-16).
Folgende Bildauszüge aus dem BayKiBiG Abrechnungsprogramm KiBiG.web zeigen, welche Daten (rote Umrandung) in diesem Antrag einzutragen sind.</t>
  </si>
  <si>
    <t>Folgende Daten werden aus dem Analyseblatt benötigt:</t>
  </si>
  <si>
    <t>Tragen Sie die jeweiligen Platzzahlen der gültigen Betriebserlaubnis ein. Wurden in der Betriebserlaubnis altersgemischte Plätze, z. B. Kinder im Alter von 1 bis 6 Jahren genehmigt, ist nur das Feld 
mit der Ziffer 26 auszufüllen, die Felder Ziffer 23-25 werden dann geschwärzt. Prüfen Sie Ihre Eintragungen im KiBiG.web unter Stammdaten der Kindertageseinrichtung.</t>
  </si>
  <si>
    <r>
      <t>Wird der Faktor estandort im BWZ 2019 abgerechnet, ist im Dropdown-Feld die jeweilige Belegungsquote der entsprechenden Kinder aus belasteten Stadtbezirksvierteln im Januar des ersten Bewilligungszeitraums (Beginn der Förderlaufzeit) auszuwählen. 
Hat die Förderlaufzeit im BWZ 2019 begonnen, ist die Adressliste der im Januar 2019 betreuten Kinder beizufügen. 
Die für den Faktor estandort tatsächlich entstandenen Sach- und Fortbildungskosten tragen Sie in das Feld Ziffer 29 ein. 
Wird nach Ablauf der regulären dreijährigen Förderlaufzeit das Übergangsjahr</t>
    </r>
    <r>
      <rPr>
        <sz val="12"/>
        <rFont val="Arial"/>
        <family val="2"/>
      </rPr>
      <t xml:space="preserve"> aufgrund des Absinkens der Anzahl der betreuten Kinder aus belasteten Standorten von mindestens 70% auf mindestens 50% beantragt, ist in diesem Feld "70% - Übergangsjahr" auszuwählen.</t>
    </r>
  </si>
  <si>
    <t xml:space="preserve">
</t>
  </si>
  <si>
    <t xml:space="preserve">Ziffer 34 - Wurde die Arbeitsmarktzulage (AMZ) für Erzieherinnen und Erzieher ausbezahlt, dann wählen Sie mit dem Dropdown-Feld "Ja" aus.
Ziffer 35 - Hier ist die Abrechnungsoption des auf die AMZ entfallenden Sozialversicherungsanteils (SV-Anteil) auszuwählen. 
"Nein" bedeutet, die tatsächlichen SV-Anteile der AMZ werden je Mitarbeiterin bzw. Mitarbeiter beantragt. 
"Ja" bedeutet, die Pauschale mit 20,678 Prozent wird beantragt. 
Wenn die Pauschale beantragt, wird diese auch automatisch für die Berechnung des SV-Anteils für den S8b-Ausgleich herangezogen. </t>
  </si>
  <si>
    <r>
      <t xml:space="preserve">Beantragen Sie den S8b-Ausgleich für Kindertageseinrichtungen mit besonderem Betreuungsaufwand im Zeitraum </t>
    </r>
    <r>
      <rPr>
        <b/>
        <sz val="12"/>
        <rFont val="Arial"/>
        <family val="2"/>
      </rPr>
      <t>September bis Dezember 2019</t>
    </r>
    <r>
      <rPr>
        <sz val="12"/>
        <rFont val="Arial"/>
        <family val="2"/>
      </rPr>
      <t>, so wählen Sie mit der Dropdown-Auswahl bei Ziffer 40, 41 und 42 jeweils die im BWZ 2019 vorliegende/n Voraussetzung/en mit "Ja" aus.</t>
    </r>
  </si>
  <si>
    <t>Berechnung der Fachkraftquote bezogen auf den Anstellungsschlüssel 1:10,50 (= allgemeine Fördervoraussetzung) aus den eingegebenen Grunddaten (ohne Kinder mit Gewichtungsfaktor 4,5). 
Mindestens 50% der erforderlichen Personalwochenstunden für den Anstellungsschlüssel 1:10,50 sind durch Fachkräfte (FK) zu erbringen.
Formel: erforderliche Personalwochenstunden AS 1:10,50 / 2</t>
  </si>
  <si>
    <t>Ziffer 50 - Automatische Berechnung der erforderlichen Fachkraftquote unter Berücksichtigung, dass Kinder mit Gewichtungsfaktor 4,5 betreut wurden. 
Im Register Grunddaten_Antrag wurde hierfür bei Ziffer 21 ein "ja" angegeben. 
Ziffer 51 - Anzeige, ob die Fachkraftquote bezogen auf den Anstellungsschlüssel 1:10,50 unter Berücksichtigung der Kinder mit Gewichtungsfaktor 4,5 erfüllt war. Der Inhalt der Ziffern 48-49 sind dann geschwärzt.</t>
  </si>
  <si>
    <t>Es werden die zusätzlichen durchschnittlichen Personalwochenstunden des Fachpersonals (Fach- und Ergänzungskräfte nach § 16 AVBayKiBiG) über den Anstellungsschlüssel 1:10,50 hinaus berechnet.
Formel: durchschnittliche Gesamtpersonalwochenstunden abzüglich der erforderlichen Gesamtpersonalwochenstunden für AS 1:10,50
Die Zelle I17 ist grün, wenn zusätzliche Personalstunden vorhanden sind. Diese ermittelten zusätzlichen durchschnittlichen Personalwochenstunden des Fachpersonals sind auf die beantragten Faktoren verteilbar (Ausnahme: Leitung, stellvertretende Leitung, Zusatzkraft, Anteil der Sprachkraft, der bereits durch Bundesprogramm finanziert wurde). 
Die Zelle K17 zeigt Ihnen an, wie viele Personalstunden noch auf Faktoren verteilt werden können.</t>
  </si>
  <si>
    <t xml:space="preserve">Vergleichswert in Euro der zu verteilenden Personalkosten des zusätzlichen pädagogischen Personals
für die Faktoren eausfall, estandort, eöff, kfU3, kfkont </t>
  </si>
  <si>
    <r>
      <t>Um den Wert der zusätzlichen</t>
    </r>
    <r>
      <rPr>
        <sz val="12"/>
        <color rgb="FFFF0000"/>
        <rFont val="Arial"/>
        <family val="2"/>
      </rPr>
      <t xml:space="preserve"> </t>
    </r>
    <r>
      <rPr>
        <sz val="12"/>
        <rFont val="Arial"/>
        <family val="2"/>
      </rPr>
      <t>Personalstunden des pädagogischen Personals zu ermitteln, wird der Durchschnittsbetrag in S8a (TVöD) der Landeshauptstadt München als Vergleichswert herangezogen. 
Diese Vergleichsberechnung dient lediglich zur Orientierung, wird aber nicht in die Beantragung bzw. Berechnung der einzelnen Förderfaktoren übernommen.</t>
    </r>
  </si>
  <si>
    <t xml:space="preserve">Bitte tragen Sie die Personaldaten Ihres gesamten pädagogischen Fachpersonals (Fach- und Ergänzungskräfte nach § 16 AVBayKiBiG), das im BWZ 2019 in der Kindertageseinrichtung tätig war, in den folgenden Tabellen ein. 
Hier sind auch Springer einzutragen, die nicht im KiBiG.web erfasst wurden. Die Tabellen sind aufgeteilt nach Fachkräften (FK), Ergänzungskräften (EK) und OptiPrax im 2. und 3. Ausbildungsjahr. </t>
  </si>
  <si>
    <t>ANÜ = Arbeitnehmerüberlassung</t>
  </si>
  <si>
    <t xml:space="preserve">
</t>
  </si>
  <si>
    <r>
      <t>Tabelle 4 - Eintragung der beschäftigten Auszubildenen des OptiPrax-Programms im zweiten und im dritten Ausbildungsjahr. 
Ab dem Wechsel des Ausbildungsjahres ist eine neue Zeile zu befüllen.
Spalten B-F - siehe Ziffern 59-61
Spalte L - Arbeitgeberaufwand (= insb. Arbeitsentgelt und Arbeitgeberanteile zur Sozial-, Unfallversicherung und ggf. Zusatzversorgung) mit Jahressonderzahlung - hier sind 100 Prozent der Personalkosten (abzüglich Erstattungen, z.B. von der Krankenkasse) einzutragen. Bitte beachten Sie die Hinweise zur Personaleintragung zur MFF-EA 2019 (Stand: 11.02.2020).
Spalten N-U - siehe Ziffern 59-61
Die Einrechnung der WAZ im AS erfolgte bereits in den Gesamtpersonalwochenstunden. 
Die eingerechnete WAZ kann auf Faktoren wie folgt verteilt werden: OptiPrax-Kräfte im 2. Ausbildungsjahr maximal 50 Prozent der WAZ, OptiPrax-Kräfte im 3. Ausbildungsjahr maximal 100 Prozent der WAZ. 
Bei der WAZ (Spalte J)</t>
    </r>
    <r>
      <rPr>
        <sz val="12"/>
        <color rgb="FFFF0000"/>
        <rFont val="Arial"/>
        <family val="2"/>
      </rPr>
      <t xml:space="preserve"> </t>
    </r>
    <r>
      <rPr>
        <sz val="12"/>
        <rFont val="Arial"/>
        <family val="2"/>
      </rPr>
      <t xml:space="preserve">tragen Sie die im KiBiG.web hinterlegten Zeitanteile der Ausbildung ein. Im zweiten Ausbildungsjahr sind maximal 50 Prozent der wöchentlichen Arbeitszeit abrechnungsfähig. Entsprechend der eingetragenen WAZ (Spalte J) ist der Arbeitgeberaufwand im BWZ (Spalte L) einzutragen.
</t>
    </r>
  </si>
  <si>
    <r>
      <t xml:space="preserve">Tabelle 8 und 9 - Nur auszufüllen für </t>
    </r>
    <r>
      <rPr>
        <b/>
        <sz val="12"/>
        <rFont val="Arial"/>
        <family val="2"/>
      </rPr>
      <t>anerkannte KinderTagesZentren (KiTZ)</t>
    </r>
    <r>
      <rPr>
        <sz val="12"/>
        <rFont val="Arial"/>
        <family val="2"/>
      </rPr>
      <t>, die vom Referat für Bildung und Sport definiert sind und die die entsprechende pädagogische Konzeption KiTZ umsetzen.
Tabelle 8 - Personalkosten KiTZ
Ziffer 75-77 - Zur Abrechnung sind die Personaldaten (Spalten B-G, I) und die tatsächlich entstandenen Personalkosten der im BWZ 2019 beschäftigten Fachkraft für familienintegrative und stadtteilorientierte Arbeit (KiTZ-Fachkraft) erforderlich.
Tabelle 9 - Sachkosten KiTZ (</t>
    </r>
    <r>
      <rPr>
        <b/>
        <sz val="12"/>
        <rFont val="Arial"/>
        <family val="2"/>
      </rPr>
      <t>rechts</t>
    </r>
    <r>
      <rPr>
        <sz val="12"/>
        <rFont val="Arial"/>
        <family val="2"/>
      </rPr>
      <t xml:space="preserve"> neben Tabelle 8)
Ziffer 78 - Hier sind die tatsächlich angefallen Sachkosten, die im Zusammenhang mit der Umsetzung der KiTZ-Konzeption angefallen sind, einzutragen. </t>
    </r>
  </si>
  <si>
    <t>Es erfolgt ein automatischer Übertrag der Personaldaten des Fachpersonals (FK) aus dem Register "Personal" Tabelle 1 in die Register "AMZ" und "S8b-Ausgleich".</t>
  </si>
  <si>
    <r>
      <t xml:space="preserve">
Tabelle 6 und 7 - Eintragung der Auszubildenden und Praktikanten für den Faktor Ausbildung (Faktor a)
Dieser Faktor sieht die anteilige Personalkostenerstattung von Auszubildenden des Sozialpädagogischen Seminar (SPS), Optipraxkräfte im ersten Ausbildungsjahr und Assistenzkräfte (Ausbildung im Assistenzkraftprogramm) vor. 
Ziffer 69-71 - Für die Beantragung des Faktors a im Zeitraum Januar bis August 2019 tragen Sie bitte die in Ihrer Kindertageseinrichtung im BWZ beschäftigten Auszubildenden/Praktikanten ein.
Hierzu wählen Sie im Dropdown-Feld die Art der Ausbildung/Praktika und das Ausbildungsjahr. 
Geben Sie anschließend den tatsächlichen Arbeitgeberaufwand (inkl. SV-Arbeitgeberanteil) für den Zeitraum Januar bis August 2019 an. Die Förderung für die Auszubildenden und Praktikanten erfolgt in Höhe von 80% der erstattungsfähigen Personalkosten.
Ziffer 72-74 - Für die Beantragung des Faktors a für September bis Dezember 2019  tragen Sie bitte die in Ihrer Kindertageseinrichtung im BWZ beschäftigten Auszubildenden/Praktikanten analog den Ziffern 69-71 ein.
Hinweis: War ein*e Auszubildende*r/Praktikant*in in beiden Zeiträumen (Januar bis August 2019 und September bis Dezember 2019)</t>
    </r>
    <r>
      <rPr>
        <sz val="12"/>
        <color rgb="FFFF0000"/>
        <rFont val="Arial"/>
        <family val="2"/>
      </rPr>
      <t xml:space="preserve"> </t>
    </r>
    <r>
      <rPr>
        <sz val="12"/>
        <rFont val="Arial"/>
        <family val="2"/>
      </rPr>
      <t>bei Ihnen in der Einrichtung beschäftigt, tragen Sie diese*n bitte in die Tabellen 6 und Tabelle 7 ein. Geben Sie den tatsächlichen Arbeitgeberaufwand der jeweiligen Zeiträume ein.</t>
    </r>
  </si>
  <si>
    <t>Ziffer 86 - Darstellung der einzelnen Förderbestandteile mit den MFF-Faktoren. Die Beträge werden aus den anderen Registern übertragen. 
Ziffer 87 - Die Gesamtantragsumme der MFF Endabrechnung 2019 berücksichtigt nicht die bereits erhaltenen Abschlagszahlungen für den BWZ 2019. Darüber hinaus bedarf es der Prüfung des Antrags, um die endgültige Förderhöhe festlegen zu können.</t>
  </si>
  <si>
    <t>kein Standort</t>
  </si>
  <si>
    <t>MFF-Förderzeitraum in Monaten im BWZ 2019</t>
  </si>
  <si>
    <t>Arbeitsmarktzulage Erzieher*innen</t>
  </si>
  <si>
    <t>Erstattungsfähige Kosten für Ausbildungsfaktor</t>
  </si>
  <si>
    <t>Bestandteile des Förderantrags MFF-Endabrechnung 2019</t>
  </si>
  <si>
    <t>Faktor a</t>
  </si>
  <si>
    <t>Summe Förderfaktoren, inklusive Miete, inkl. Ausbildungsfaktor</t>
  </si>
  <si>
    <t>Hier tragen Sie Ihre Trägerdaten und die Daten der abzurechnenden Kindertageseinrichtung ein.
Ziffer 11: Die 10-stellige Einrichtungsnummer ist ohne Leerzeichen, Punkt etc. einzutragen, damit eine automatische Berechnung für den Faktor kfu3 erfolgen kann.</t>
  </si>
  <si>
    <t>Für die MFF wird die BayKiBiG-Grundförderung aus dem Förderanspruch (kindbezogene Förderung) und, soweit vorliegend, zuzüglich Kurzzeit-/ Ferienbuchungen und ggf. abzüglich Kürzung Ferien-/ Kurzzeitbuchungen sowie Abzugsbetrag Schließtage ermittelt (siehe rote Kästchen mit Ziffer 12 gekennzeichnet). 
D. h. die Förderbeträge für Kurzzeitbuchungen/ Ferienbuchungen müssen in Ziffer 12 dazu addiert und ggf. Abzugsbeträge subtrahiert werden.</t>
  </si>
  <si>
    <r>
      <t xml:space="preserve">Der Förderzeitraum für den </t>
    </r>
    <r>
      <rPr>
        <b/>
        <sz val="12"/>
        <rFont val="Arial"/>
        <family val="2"/>
      </rPr>
      <t>Bewilligungszeitraum BayKiBiG</t>
    </r>
    <r>
      <rPr>
        <sz val="12"/>
        <rFont val="Arial"/>
        <family val="2"/>
      </rPr>
      <t xml:space="preserve"> beträgt grundsätzlich 12 Monate. Eine abweichende Anzahl der Fördermonate ist bei Neueröffnung oder Schließung der Kindertageseinrichtung im BWZ 2019 möglich. Bitte benutzen Sie das Dropdown-Feld zur Änderung der Fördermonate.</t>
    </r>
  </si>
  <si>
    <t>Der für den Faktor kfU3 notwendige BayKiBiG-Wert für U3-Kinder befüllt sich durch die Eingabe der 10-stelligen Einrichtungsnummer (ohne Leerzeichen, Punkt etc.) bei Ziffer 11.
Ziffer 15 befüllt sich mit diesem Wert automatisch, wenn für die MFF und BayKiBiG jeweils 12 Monate als Förderzeitraum angegeben wurden.
Ziffer 16 befüllt sich analog, wenn für die MFF und/oder BayKiBiG-Förderung abweichende Förderzeiträume angegeben wurden.</t>
  </si>
  <si>
    <t xml:space="preserve">Tragen Sie die für den BWZ 2019 maßgebliche tatsächlich entrichtete monatliche Kaltmiete ohne Mietnebenkosten und ggf. abzüglich Untermieteinnahmen ein. Bei Änderungen sind entsprechende Nachweise dem Antrag beizufügen. </t>
  </si>
  <si>
    <r>
      <t>Wurden im BWZ 2019 ein</t>
    </r>
    <r>
      <rPr>
        <sz val="12"/>
        <color rgb="FFFF0000"/>
        <rFont val="Arial"/>
        <family val="2"/>
      </rPr>
      <t xml:space="preserve"> </t>
    </r>
    <r>
      <rPr>
        <sz val="12"/>
        <rFont val="Arial"/>
        <family val="2"/>
      </rPr>
      <t>oder mehrere Kinder mit dem Gewichtungsfaktor 4,5 betreut, dann ist im Dropdown-Feld "Ja" auszuwählen. Bei "Ja" öffnet sich das Feld zu Ziffer</t>
    </r>
    <r>
      <rPr>
        <sz val="12"/>
        <color rgb="FFFF0000"/>
        <rFont val="Arial"/>
        <family val="2"/>
      </rPr>
      <t xml:space="preserve"> </t>
    </r>
    <r>
      <rPr>
        <sz val="12"/>
        <rFont val="Arial"/>
        <family val="2"/>
      </rPr>
      <t>22. Die Angabe aus dem KiBiG.web der Mindestfachkraftstunden für den AS 1 : 11,00 ist bei Ziffer</t>
    </r>
    <r>
      <rPr>
        <sz val="12"/>
        <color rgb="FFFF0000"/>
        <rFont val="Arial"/>
        <family val="2"/>
      </rPr>
      <t xml:space="preserve"> </t>
    </r>
    <r>
      <rPr>
        <sz val="12"/>
        <rFont val="Arial"/>
        <family val="2"/>
      </rPr>
      <t>22 einzutragen (s. Bild oben).</t>
    </r>
  </si>
  <si>
    <t>Wählen Sie in dem Dropdown-Feld "Ja" aus, wenn Sie Personalkosten für Auszubildende beantragen.</t>
  </si>
  <si>
    <r>
      <t xml:space="preserve">Bitte füllen Sie im Register "AMZ" bei den entsprechenden Mitarbeiter*innen die Daten zur AMZ für Erzieher*innen aus, wenn Sie im Register "Grunddaten_Antrag" bei Ziffer 34 "Ja" ausgewählt haben. 
Beachten Sie das Informationsschreiben "Arbeitsmarktzulage" von Juni 2019 (Veröffentlichung im Internet). 
Tragen Sie die einzelnen Beträge der AMZ je Mitarbeiter*in ein. Die Höhe der AMZ für eine Vollzeitkraft beträgt maximal 200,- Euro pro Monat (Spalte G) zzgl. anteilige Jahressonderzahlung auf die AMZ (Spalte H), wenn diese gezahlt wurde. 
Bei Teilzeitbeschäftigung wird die AMZ entsprechend anteilig ausbezahlt. 
Für den auf die AMZ entfallenden Arbeitgeberanteil zur Sozialversicherung (SV) - einschließlich Unfallversicherung und ggf. Zusatzversorgung - haben Sie zwei Möglichkeiten der Abrechnung:
Variante 1: Sie rechnen die Pauschale von 20,678 Prozent ab. Dann wählen Sie im Register "Grunddaten_Antrag" bei Ziffer 35 "Ja" aus und es erfolgt hier eine automatische Berechnung. 
Variante 2: Sie rechnen die tatsächlich entstandenen SV-Anteile je Mitarbeiter*in ab, dann wählen Sie bei Ziffer 35 "Nein" aus und tragen hier die ermittelten Beträge in Spalte J ein.
Ausnahme: Der Pauschalsatz des AMZ SV-Anteils von 20,678 Prozent gilt </t>
    </r>
    <r>
      <rPr>
        <b/>
        <sz val="12"/>
        <rFont val="Arial"/>
        <family val="2"/>
      </rPr>
      <t>nicht</t>
    </r>
    <r>
      <rPr>
        <sz val="12"/>
        <rFont val="Arial"/>
        <family val="2"/>
      </rPr>
      <t xml:space="preserve"> für Beschäftigungen i. S. d. § 8 SGB IV sowie für privat krankenversicherte Beschäftigte. Für Beschäftige nach § 8 SGB IV ist der tatsächliche Aufwand abzurechnen. Für privat krankenversicherte Beschäftigte wird eine Pauschale von 11,74 Prozent angesetzt. Wichtig: Für diese Beschäftigungsgruppen benötigt die/der zuständige Sachbearbeiter*in eine zusätzliche Mitteilung über die tatsächliche Höhe des SV-Anteils.</t>
    </r>
  </si>
  <si>
    <t xml:space="preserve">Die Beantragung des Personalkostenausgleich S8b ist nur möglich für Kindertageseinrichtungen mit besonderem Betreuungsauftrag. 
Hierfür müssen besondere Fördervoraussetzungen erfüllt sein (siehe Stadtratsbeschluss Nr. 14-10 / V 01829 vom 17.12.2014). Ab dem 01.09.2019 wurden die Kriterien für eine Einwertung von Fachkräften in S8b an Kindertageseinrichtungen mit besonderem Betreuungsumfang erweitert (siehe Stadtratsbeschluss Nr. 14-20 / V 16524 vom 27.11.2019). 
Spalte J - Hier ist der Differenzbetrag des jeweiligen Arbeitgeberaufwands je Mitarbeiter*in einzutragen.
Hinweis: Der auf den Differenzbetrag S8b-Ausgleich entfallende Arbeitgeberanteil zur Sozialversicherung (SV) berechnet sich entsprechend der gewählten Variante bei Ziffer 35 im Register "Grunddaten", siehe Ziffern 79-81.
</t>
  </si>
  <si>
    <t>Bitte senden Sie die im Register "Beantrage MFF-Förderung" unterschriebenen Antragsformulare mit allen erforderlichen Nachweisen postalisch oder eingescannt als PDF-Datei per E-Mail an die angegebene Kontaktadresse.</t>
  </si>
  <si>
    <t xml:space="preserve">Vergütungssystem </t>
  </si>
  <si>
    <r>
      <t>Ziffer 30 - Tragen Sie hier das angewandte Vergütungssystem (z. B. TVöD, ABD) ein. Wenn die Vergütung individuell im Arbeitsvertrag geregelt ist, tragen Sie unter der Ziffer "individuelle Vereinbarung" ein.
Ziffer 31 - Tragen Sie hier die Wochenstunden ein, die der regulären Arbeitszeit einer Vollzeitkraft entsprechen.</t>
    </r>
    <r>
      <rPr>
        <sz val="12"/>
        <color rgb="FFFF0000"/>
        <rFont val="Arial"/>
        <family val="2"/>
      </rPr>
      <t xml:space="preserve"> </t>
    </r>
    <r>
      <rPr>
        <sz val="12"/>
        <rFont val="Arial"/>
        <family val="2"/>
      </rPr>
      <t xml:space="preserve">
Ziffer 32 - Wählen Sie im Dropdown-Feld aus, ob eine Jahressonderzahlung gezahlt wurde.
Ziffer 33 - Wählen Sie im Dropdown-Feld aus, ob eine flächendeckende zusätzliche Altersvorsorge, z.B. ZVK, gezahlt wurde. Hier ist </t>
    </r>
    <r>
      <rPr>
        <b/>
        <sz val="12"/>
        <rFont val="Arial"/>
        <family val="2"/>
      </rPr>
      <t>nicht</t>
    </r>
    <r>
      <rPr>
        <sz val="12"/>
        <rFont val="Arial"/>
        <family val="2"/>
      </rPr>
      <t xml:space="preserve"> eine Einzelvorsorge auf Verlangen einzelner Arbeitnehmer (z.B. Entgeltumwandlung, Riester-Rente) gemeint.</t>
    </r>
  </si>
  <si>
    <t>Ziffer 36</t>
  </si>
  <si>
    <r>
      <t xml:space="preserve">Ziffer 37 und Ziffer 38 - Beantragen Sie den S8b-Ausgleich für Kindertageseinrichtungen mit besonderem Betreuungsaufwand im Zeitraum </t>
    </r>
    <r>
      <rPr>
        <b/>
        <sz val="12"/>
        <rFont val="Arial"/>
        <family val="2"/>
      </rPr>
      <t>Januar bis Dezember 2019</t>
    </r>
    <r>
      <rPr>
        <sz val="12"/>
        <rFont val="Arial"/>
        <family val="2"/>
      </rPr>
      <t>, so wählen Sie mit der Dropdown-Auswahl bei Ziffer 37 und 38 jeweils die im BWZ 2019 vorliegende/n Voraussetzung/en mit "Ja"  aus.
Ziffer 39 - Eine S 8b-Ausgleichsfinanzierung erfolgt, wenn nachgewiesen wird, dass für konkret beschäftigtes Personal im Bewilligungszeitraum 2017 die Ausgleichszahlung S 8b bewilligt wurde. Beantragen Sie hier mit der Dropdown-Auswahl "Ja" das Übergangsjahr.</t>
    </r>
  </si>
  <si>
    <t>Förderbetrag (80%)</t>
  </si>
  <si>
    <r>
      <t xml:space="preserve">Tabelle 2 - Eintragung der Fachkräfte
Erläuterungen zu den einzelnen Angaben (=Tabellenkopf) nach Spalten:
Spalte B - Die KiBiG.web-ID ist zwingend anzugeben.
Spalte C - Die Funktion der Mitarbeiter*innen laut Arbeitsvertrag ist anzugeben. 
Spalte D - Die Angabe der Form des Arbeitsverhältnisses ist erforderlich. Zu unterscheiden sind Festanstellung (Arbeitsvertrag mit dem Träger) oder Honorarvertrag (freie Mitarbeiter), Arbeitnehmerüberlassung (ANÜ, Vermittlung durch Zeitarbeitsfirma) und Springer.
Spalten E und F - Liegt kein Tarifwerk, Haustarifvertrag oder analoge Anwendung eines Tarifvertrages vor, dann ist in diesen Spalten kein Eintrag erforderlich.
Spalte L - Arbeitgeberaufwand (= insb. Arbeitsentgelt und Arbeitgeberanteile zur Sozial-, Unfallversicherung und ggf. Zusatzversorgung) </t>
    </r>
    <r>
      <rPr>
        <b/>
        <sz val="12"/>
        <rFont val="Arial"/>
        <family val="2"/>
      </rPr>
      <t>mit</t>
    </r>
    <r>
      <rPr>
        <sz val="12"/>
        <rFont val="Arial"/>
        <family val="2"/>
      </rPr>
      <t xml:space="preserve"> Jahressonderzahlung, AMZ und S8b-Ausgleich für Erzieher*innen - hier sind 100 Prozent der Personalkosten (abzüglich Erstattungen, z.B. von der Krankenkasse) einzutragen. Bitte beachten Sie die Hinweise zur Personaleintragung zur MFF-EA 2019 (Stand: 11.02.2020).
Spalte M - Automatische Berechnung des Arbeitgeberaufwands (= insb. Arbeitsentgelt und Arbeitgeberanteile zur Sozial-, Unfallversicherung und ggf. Zusatzversorgung) </t>
    </r>
    <r>
      <rPr>
        <b/>
        <sz val="12"/>
        <rFont val="Arial"/>
        <family val="2"/>
      </rPr>
      <t>mit</t>
    </r>
    <r>
      <rPr>
        <sz val="12"/>
        <rFont val="Arial"/>
        <family val="2"/>
      </rPr>
      <t xml:space="preserve"> Jahressonderzahlung </t>
    </r>
    <r>
      <rPr>
        <b/>
        <sz val="12"/>
        <rFont val="Arial"/>
        <family val="2"/>
      </rPr>
      <t>ohne</t>
    </r>
    <r>
      <rPr>
        <sz val="12"/>
        <rFont val="Arial"/>
        <family val="2"/>
      </rPr>
      <t xml:space="preserve"> AMZ und ohneS8b-Ausgleich für Erzieher*innen. Hierfür sind die Register AMZ und S8b-Ausgleich zu befüllen.
Spalten N-R - Tragen Sie hier die Anzahl der Personalstunden ein, die auf Faktoren verteilt werden sollen. Sie können die Stunden einer*s Mitarbeiters*in auf mehrere Faktoren verteilen. 
Die Berechnung der Faktoren erfolgt anhand des Arbeitgeberaufwands mit Jahressonderzahlung ohne AMZ und ohne S8b-Ausgleich.
Spalte S - Die Gesamtsumme der verteilten Personalkosten errechnet sich automatisch. 
Spalten T-U: Die Gesamtsumme der verteilten Personalstunden je Zeile errechnet sich automatisch und wird in Spalte U plausibilisiert. </t>
    </r>
  </si>
  <si>
    <r>
      <rPr>
        <b/>
        <sz val="12"/>
        <rFont val="Arial"/>
        <family val="2"/>
      </rPr>
      <t>Erklärung zur Vergütung der Mitarbeiterinnen und Mitarbeiter der Kindertageseinrichtung</t>
    </r>
    <r>
      <rPr>
        <sz val="12"/>
        <rFont val="Arial"/>
        <family val="2"/>
      </rPr>
      <t xml:space="preserve">
Die Antragstellerin bzw. der Antragsteller, vertreten durch die Unterzeichnende bzw. den Unterzeichnenden, versichern, die fest angestellten Mitarbeiterinnen und Mitarbeiter in der Kindertageseinrichtung entsprechend dem angegebenen Vergütungssystem (Hausregelwerk/
Betriebsvereinbarung oder Tarifvertrag) zu vergüten. Übertarifliche und/oder außertarifliche Leistungen wurden nicht gewährt, es sei denn, sie wurden in dem Hinweisblatt "Grundsätze der Vergütung" aufgeführt. Wurden übertarifliche und/oder außertarifliche Leistungen gewährt, die nicht in dem o. g. Hinweisblatt genannt sind, so ist dies der zuständigen Sachbearbeiterin bzw. dem zuständigen Sachbearbeiter zur Prüfung der
Zulässigkeit der entsprechenden Leistungen mitzuteilen. Ausgenommen von der Mitteilungspflicht sind Sachleistungen, wenn sie insgesamt 1.000 € im Kalenderjahr pro Beschäftigten nicht überschreiten. Dieser Freibetrag gilt nicht für übertarifliche und/oder außertarifliche Geldleistungen.
</t>
    </r>
    <r>
      <rPr>
        <b/>
        <sz val="12"/>
        <rFont val="Arial"/>
        <family val="2"/>
      </rPr>
      <t xml:space="preserve">
Erklärung gilt für den gesamten Förderantrag (Register Grunddaten_Antrag, Personal, AMZ, S8b-Ausgleich, Beantragte Förderung): </t>
    </r>
    <r>
      <rPr>
        <sz val="12"/>
        <rFont val="Arial"/>
        <family val="2"/>
      </rPr>
      <t xml:space="preserve">
Die*der Antragsteller*in, vertreten durch die*den Unterzeichnende*n, und die*der Unterzeichnende*n selbst, versichern, dass die Angaben in diesem Förderantrag zutreffend und wahrheitsgemäß nach bestem Wissen und Gewissen gemacht sind. 
Die Landeshauptstadt München behält sich vor, die Originalbelege im Rahmen einer Prüfung, zu verlangen.</t>
    </r>
  </si>
  <si>
    <r>
      <t xml:space="preserve">Die Anzahl der Schließtage (ohne Fortbildungstage mit externen Referenten) ist entsprechend Ihrem Nachweis zum Faktor eöff mit Unterschrift des Elternbeirats und der Trägervertretung einzutragen. Erfüllen Fortbildungstage folgende Voraussetzungen, zählen die Tage nicht als Schließtage im Sinne des Faktors eöff.
Die Fortbildung
1. wurde durch eine*n externe*n Referentin*en gehalten
2. hat ein eindeutig benanntes Thema und 
3. wurde entsprechend einer Tagesordnung strukturiert und abgehalten.
Als externe Referentin bzw. externer Referent gilt auch die Fachberatung des Trägers bzw. eine festangestellte Mitarbeiterin bzw. Mitarbeiter mit einem zusätzlichen Honorarvertrag und Fortbildungsauftrag.
</t>
    </r>
    <r>
      <rPr>
        <b/>
        <sz val="12"/>
        <rFont val="Arial"/>
        <family val="2"/>
      </rPr>
      <t>Neueintritt in die MFF zum 01.09.2019 - bitte beachten Sie:</t>
    </r>
    <r>
      <rPr>
        <sz val="12"/>
        <rFont val="Arial"/>
        <family val="2"/>
      </rPr>
      <t xml:space="preserve">
Es sind die Schließtage für den Zeitraum 01.09.2019 bis 31.12.2019 einzutragen.</t>
    </r>
  </si>
  <si>
    <t>Anzahl der Schließtage im MFF-Förderzeitraum (ohne Fortbildungstage mit externen Referentinn*en)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</si>
</sst>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0.00\ &quot;€&quot;;[Red]\-#,##0.00\ &quot;€&quot;"/>
    <numFmt numFmtId="164" formatCode="#,##0.00\ [$€-407];[Red]\-#,##0.00\ [$€-407]"/>
    <numFmt numFmtId="165" formatCode="#,##0.00&quot; € &quot;;\-#,##0.00&quot; € &quot;;&quot; -&quot;#&quot; € &quot;;@\ "/>
    <numFmt numFmtId="166" formatCode="#,##0.00&quot; €&quot;"/>
    <numFmt numFmtId="167" formatCode="0.0"/>
    <numFmt numFmtId="168" formatCode="#,###.00;[Red]\-#,###.00"/>
    <numFmt numFmtId="169" formatCode="#,##0.00\ [$€-407]"/>
    <numFmt numFmtId="170" formatCode="#,##0.00\ [$€-407];\-#,##0.00\ [$€-407]"/>
    <numFmt numFmtId="171" formatCode="#,##0.00\ [$€]"/>
    <numFmt numFmtId="172" formatCode="#,##0.0000"/>
    <numFmt numFmtId="173" formatCode="#,##0.00\ &quot;€&quot;"/>
    <numFmt numFmtId="174" formatCode="0.0000"/>
    <numFmt numFmtId="175" formatCode="#,##0.00_ ;[Red]\-#,##0.00\ "/>
    <numFmt numFmtId="176" formatCode="[$-407]d/\ mmmm\ yyyy;@"/>
    <numFmt numFmtId="177" formatCode="#,##0.00&quot; €&quot;;[Red]\-#,##0.00&quot; €&quot;"/>
    <numFmt numFmtId="178" formatCode="#,##0.00&quot; €&quot;;[Red]#,##0.00&quot; €&quot;"/>
    <numFmt numFmtId="179" formatCode="#,##0_ ;[Red]\-#,##0\ "/>
    <numFmt numFmtId="180" formatCode="#,##0.00000_ ;[Red]\-#,##0.00000\ "/>
    <numFmt numFmtId="181" formatCode="#,##0.00\ _€"/>
    <numFmt numFmtId="182" formatCode="#,##0.000\ &quot;€&quot;"/>
  </numFmts>
  <fonts count="38" x14ac:knownFonts="1">
    <font>
      <sz val="10"/>
      <name val="Arial"/>
      <family val="2"/>
    </font>
    <font>
      <sz val="10"/>
      <color indexed="63"/>
      <name val="Arial"/>
      <family val="2"/>
    </font>
    <font>
      <b/>
      <sz val="11"/>
      <name val="Arial"/>
      <family val="2"/>
    </font>
    <font>
      <sz val="11"/>
      <name val="Arial"/>
      <family val="2"/>
    </font>
    <font>
      <sz val="11"/>
      <color indexed="8"/>
      <name val="Arial"/>
      <family val="2"/>
    </font>
    <font>
      <b/>
      <sz val="10"/>
      <name val="Arial"/>
      <family val="2"/>
    </font>
    <font>
      <sz val="9"/>
      <name val="Arial"/>
      <family val="2"/>
    </font>
    <font>
      <sz val="8"/>
      <name val="Arial"/>
      <family val="2"/>
    </font>
    <font>
      <b/>
      <sz val="14"/>
      <color indexed="8"/>
      <name val="Arial"/>
      <family val="2"/>
    </font>
    <font>
      <b/>
      <sz val="14"/>
      <name val="Arial"/>
      <family val="2"/>
    </font>
    <font>
      <b/>
      <sz val="11"/>
      <color indexed="10"/>
      <name val="Arial"/>
      <family val="2"/>
    </font>
    <font>
      <b/>
      <sz val="12"/>
      <name val="Arial"/>
      <family val="2"/>
    </font>
    <font>
      <sz val="10"/>
      <name val="Arial"/>
      <family val="2"/>
    </font>
    <font>
      <sz val="12"/>
      <name val="Arial"/>
      <family val="2"/>
    </font>
    <font>
      <b/>
      <sz val="11"/>
      <color rgb="FF000000"/>
      <name val="Arial"/>
      <family val="2"/>
    </font>
    <font>
      <u/>
      <sz val="10"/>
      <color theme="10"/>
      <name val="Arial"/>
      <family val="2"/>
    </font>
    <font>
      <b/>
      <sz val="9"/>
      <name val="Arial"/>
      <family val="2"/>
    </font>
    <font>
      <b/>
      <sz val="12"/>
      <color indexed="8"/>
      <name val="Arial"/>
      <family val="2"/>
    </font>
    <font>
      <u/>
      <sz val="12"/>
      <color theme="10"/>
      <name val="Arial"/>
      <family val="2"/>
    </font>
    <font>
      <sz val="12"/>
      <color theme="10"/>
      <name val="Arial"/>
      <family val="2"/>
    </font>
    <font>
      <b/>
      <sz val="12"/>
      <color rgb="FF000000"/>
      <name val="Arial"/>
      <family val="2"/>
    </font>
    <font>
      <sz val="14"/>
      <name val="Calibri"/>
      <family val="2"/>
    </font>
    <font>
      <sz val="12"/>
      <color rgb="FFFF0000"/>
      <name val="Arial"/>
      <family val="2"/>
    </font>
    <font>
      <sz val="12"/>
      <color rgb="FF0070C0"/>
      <name val="Arial"/>
      <family val="2"/>
    </font>
    <font>
      <sz val="11"/>
      <color rgb="FFFF0000"/>
      <name val="Arial"/>
      <family val="2"/>
    </font>
    <font>
      <sz val="10"/>
      <color rgb="FFFF0000"/>
      <name val="Arial"/>
      <family val="2"/>
    </font>
    <font>
      <b/>
      <sz val="11"/>
      <color rgb="FFFF0000"/>
      <name val="Arial"/>
      <family val="2"/>
    </font>
    <font>
      <sz val="11"/>
      <color theme="1"/>
      <name val="Arial"/>
      <family val="2"/>
    </font>
    <font>
      <sz val="9"/>
      <color indexed="81"/>
      <name val="Tahoma"/>
      <family val="2"/>
    </font>
    <font>
      <b/>
      <sz val="9"/>
      <color indexed="81"/>
      <name val="Tahoma"/>
      <family val="2"/>
    </font>
    <font>
      <u/>
      <sz val="11"/>
      <name val="Arial"/>
      <family val="2"/>
    </font>
    <font>
      <b/>
      <sz val="11"/>
      <color theme="1"/>
      <name val="Arial"/>
      <family val="2"/>
    </font>
    <font>
      <sz val="14"/>
      <color rgb="FFFF0000"/>
      <name val="Arial"/>
      <family val="2"/>
    </font>
    <font>
      <u/>
      <sz val="12"/>
      <name val="Arial"/>
      <family val="2"/>
    </font>
    <font>
      <b/>
      <u/>
      <sz val="12"/>
      <name val="Arial"/>
      <family val="2"/>
    </font>
    <font>
      <b/>
      <sz val="12"/>
      <color rgb="FFFF0000"/>
      <name val="Arial"/>
      <family val="2"/>
    </font>
    <font>
      <sz val="11"/>
      <color indexed="8"/>
      <name val="Calibri"/>
    </font>
    <font>
      <b/>
      <sz val="9"/>
      <color indexed="8"/>
      <name val="Calibri"/>
    </font>
  </fonts>
  <fills count="47">
    <fill>
      <patternFill patternType="none"/>
    </fill>
    <fill>
      <patternFill patternType="gray125"/>
    </fill>
    <fill>
      <patternFill patternType="solid">
        <fgColor indexed="41"/>
        <bgColor indexed="9"/>
      </patternFill>
    </fill>
    <fill>
      <patternFill patternType="solid">
        <fgColor indexed="10"/>
        <bgColor indexed="53"/>
      </patternFill>
    </fill>
    <fill>
      <patternFill patternType="solid">
        <fgColor indexed="63"/>
        <bgColor indexed="59"/>
      </patternFill>
    </fill>
    <fill>
      <patternFill patternType="solid">
        <fgColor indexed="22"/>
        <bgColor indexed="31"/>
      </patternFill>
    </fill>
    <fill>
      <patternFill patternType="solid">
        <fgColor indexed="31"/>
        <bgColor indexed="55"/>
      </patternFill>
    </fill>
    <fill>
      <patternFill patternType="solid">
        <fgColor indexed="55"/>
        <bgColor indexed="31"/>
      </patternFill>
    </fill>
    <fill>
      <patternFill patternType="solid">
        <fgColor indexed="26"/>
        <bgColor indexed="9"/>
      </patternFill>
    </fill>
    <fill>
      <patternFill patternType="solid">
        <fgColor indexed="27"/>
        <bgColor indexed="42"/>
      </patternFill>
    </fill>
    <fill>
      <patternFill patternType="solid">
        <fgColor indexed="9"/>
        <bgColor indexed="26"/>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99"/>
        <bgColor indexed="9"/>
      </patternFill>
    </fill>
    <fill>
      <patternFill patternType="solid">
        <fgColor rgb="FFFFFF99"/>
        <bgColor indexed="64"/>
      </patternFill>
    </fill>
    <fill>
      <patternFill patternType="solid">
        <fgColor rgb="FFFFFF00"/>
        <bgColor indexed="64"/>
      </patternFill>
    </fill>
    <fill>
      <patternFill patternType="solid">
        <fgColor rgb="FFEAEAEA"/>
        <bgColor indexed="9"/>
      </patternFill>
    </fill>
    <fill>
      <patternFill patternType="solid">
        <fgColor rgb="FFEAEAEA"/>
        <bgColor indexed="55"/>
      </patternFill>
    </fill>
    <fill>
      <patternFill patternType="solid">
        <fgColor rgb="FFEAEAEA"/>
        <bgColor indexed="31"/>
      </patternFill>
    </fill>
    <fill>
      <patternFill patternType="solid">
        <fgColor theme="5" tint="0.59999389629810485"/>
        <bgColor indexed="64"/>
      </patternFill>
    </fill>
    <fill>
      <patternFill patternType="solid">
        <fgColor rgb="FFFFFF00"/>
        <bgColor indexed="31"/>
      </patternFill>
    </fill>
    <fill>
      <patternFill patternType="solid">
        <fgColor theme="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9"/>
      </patternFill>
    </fill>
    <fill>
      <patternFill patternType="solid">
        <fgColor theme="0" tint="-0.34998626667073579"/>
        <bgColor indexed="9"/>
      </patternFill>
    </fill>
    <fill>
      <patternFill patternType="solid">
        <fgColor theme="0"/>
        <bgColor indexed="31"/>
      </patternFill>
    </fill>
    <fill>
      <patternFill patternType="solid">
        <fgColor theme="4" tint="0.79998168889431442"/>
        <bgColor indexed="9"/>
      </patternFill>
    </fill>
    <fill>
      <patternFill patternType="solid">
        <fgColor theme="3" tint="0.79998168889431442"/>
        <bgColor indexed="9"/>
      </patternFill>
    </fill>
    <fill>
      <patternFill patternType="solid">
        <fgColor theme="3" tint="0.59999389629810485"/>
        <bgColor indexed="64"/>
      </patternFill>
    </fill>
    <fill>
      <patternFill patternType="solid">
        <fgColor theme="9" tint="0.39997558519241921"/>
        <bgColor indexed="64"/>
      </patternFill>
    </fill>
    <fill>
      <patternFill patternType="solid">
        <fgColor theme="7" tint="0.79998168889431442"/>
        <bgColor indexed="31"/>
      </patternFill>
    </fill>
    <fill>
      <patternFill patternType="solid">
        <fgColor theme="7" tint="0.79998168889431442"/>
        <bgColor indexed="9"/>
      </patternFill>
    </fill>
    <fill>
      <patternFill patternType="solid">
        <fgColor theme="6" tint="0.59999389629810485"/>
        <bgColor indexed="9"/>
      </patternFill>
    </fill>
    <fill>
      <patternFill patternType="solid">
        <fgColor theme="6" tint="0.59999389629810485"/>
        <bgColor indexed="31"/>
      </patternFill>
    </fill>
    <fill>
      <patternFill patternType="solid">
        <fgColor theme="6" tint="0.59999389629810485"/>
        <bgColor indexed="64"/>
      </patternFill>
    </fill>
    <fill>
      <patternFill patternType="solid">
        <fgColor theme="3" tint="0.79998168889431442"/>
        <bgColor indexed="31"/>
      </patternFill>
    </fill>
    <fill>
      <patternFill patternType="solid">
        <fgColor theme="0" tint="-4.9989318521683403E-2"/>
        <bgColor indexed="64"/>
      </patternFill>
    </fill>
    <fill>
      <patternFill patternType="solid">
        <fgColor theme="0" tint="-4.9989318521683403E-2"/>
        <bgColor indexed="31"/>
      </patternFill>
    </fill>
    <fill>
      <patternFill patternType="solid">
        <fgColor theme="0" tint="-4.9989318521683403E-2"/>
        <bgColor indexed="9"/>
      </patternFill>
    </fill>
    <fill>
      <patternFill patternType="solid">
        <fgColor theme="0" tint="-4.9989318521683403E-2"/>
        <bgColor indexed="55"/>
      </patternFill>
    </fill>
    <fill>
      <patternFill patternType="solid">
        <fgColor indexed="11"/>
        <bgColor indexed="12"/>
      </patternFill>
    </fill>
    <fill>
      <patternFill patternType="solid">
        <fgColor rgb="FFFF0000"/>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FF00"/>
        <bgColor indexed="12"/>
      </patternFill>
    </fill>
  </fills>
  <borders count="79">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right/>
      <top style="thin">
        <color indexed="8"/>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medium">
        <color indexed="64"/>
      </top>
      <bottom style="medium">
        <color indexed="64"/>
      </bottom>
      <diagonal/>
    </border>
    <border>
      <left style="thick">
        <color indexed="8"/>
      </left>
      <right style="thin">
        <color indexed="8"/>
      </right>
      <top style="medium">
        <color indexed="64"/>
      </top>
      <bottom style="medium">
        <color indexed="64"/>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medium">
        <color indexed="63"/>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8"/>
      </right>
      <top style="medium">
        <color indexed="64"/>
      </top>
      <bottom style="medium">
        <color indexed="64"/>
      </bottom>
      <diagonal/>
    </border>
    <border>
      <left/>
      <right style="thin">
        <color indexed="64"/>
      </right>
      <top style="thin">
        <color indexed="8"/>
      </top>
      <bottom style="thin">
        <color indexed="64"/>
      </bottom>
      <diagonal/>
    </border>
    <border>
      <left style="thin">
        <color indexed="64"/>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8"/>
      </left>
      <right/>
      <top style="thin">
        <color indexed="8"/>
      </top>
      <bottom style="medium">
        <color indexed="63"/>
      </bottom>
      <diagonal/>
    </border>
    <border>
      <left/>
      <right style="thin">
        <color auto="1"/>
      </right>
      <top/>
      <bottom/>
      <diagonal/>
    </border>
    <border>
      <left/>
      <right/>
      <top style="thin">
        <color indexed="8"/>
      </top>
      <bottom/>
      <diagonal/>
    </border>
    <border>
      <left style="thin">
        <color indexed="64"/>
      </left>
      <right style="thin">
        <color indexed="64"/>
      </right>
      <top/>
      <bottom style="thin">
        <color indexed="8"/>
      </bottom>
      <diagonal/>
    </border>
    <border>
      <left style="thin">
        <color indexed="64"/>
      </left>
      <right/>
      <top/>
      <bottom style="thin">
        <color indexed="8"/>
      </bottom>
      <diagonal/>
    </border>
    <border>
      <left style="thin">
        <color indexed="64"/>
      </left>
      <right style="thin">
        <color indexed="64"/>
      </right>
      <top style="medium">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8"/>
      </top>
      <bottom/>
      <diagonal/>
    </border>
    <border>
      <left/>
      <right style="thin">
        <color auto="1"/>
      </right>
      <top style="thin">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5">
    <xf numFmtId="0" fontId="0" fillId="0" borderId="0"/>
    <xf numFmtId="0" fontId="12" fillId="2" borderId="0" applyNumberFormat="0" applyBorder="0" applyAlignment="0" applyProtection="0"/>
    <xf numFmtId="165" fontId="12" fillId="0" borderId="0" applyFill="0" applyBorder="0" applyAlignment="0" applyProtection="0"/>
    <xf numFmtId="0" fontId="12" fillId="3" borderId="0" applyNumberFormat="0" applyBorder="0" applyAlignment="0" applyProtection="0"/>
    <xf numFmtId="0" fontId="12" fillId="3" borderId="0" applyNumberFormat="0" applyBorder="0" applyAlignment="0" applyProtection="0"/>
    <xf numFmtId="0" fontId="1" fillId="4" borderId="1" applyAlignment="0"/>
    <xf numFmtId="0" fontId="1" fillId="4" borderId="1" applyAlignment="0"/>
    <xf numFmtId="0" fontId="12" fillId="5" borderId="0" applyNumberFormat="0" applyBorder="0" applyAlignment="0" applyProtection="0"/>
    <xf numFmtId="0" fontId="12" fillId="6" borderId="0" applyNumberFormat="0" applyBorder="0" applyAlignment="0" applyProtection="0"/>
    <xf numFmtId="165" fontId="12" fillId="0" borderId="0" applyFill="0" applyBorder="0" applyAlignment="0" applyProtection="0"/>
    <xf numFmtId="0" fontId="12" fillId="0" borderId="0" applyAlignment="0">
      <protection locked="0"/>
    </xf>
    <xf numFmtId="0" fontId="12" fillId="0" borderId="0" applyAlignment="0">
      <protection locked="0"/>
    </xf>
    <xf numFmtId="164" fontId="12" fillId="0" borderId="0" applyAlignment="0">
      <protection locked="0"/>
    </xf>
    <xf numFmtId="0" fontId="15" fillId="0" borderId="0" applyNumberFormat="0" applyFill="0" applyBorder="0" applyAlignment="0" applyProtection="0"/>
    <xf numFmtId="0" fontId="36" fillId="0" borderId="0" applyFill="0" applyProtection="0"/>
  </cellStyleXfs>
  <cellXfs count="906">
    <xf numFmtId="0" fontId="0" fillId="0" borderId="0" xfId="0"/>
    <xf numFmtId="0" fontId="0" fillId="0" borderId="0" xfId="0" applyProtection="1">
      <protection hidden="1"/>
    </xf>
    <xf numFmtId="0" fontId="0" fillId="0" borderId="0" xfId="0" applyFill="1" applyProtection="1">
      <protection hidden="1"/>
    </xf>
    <xf numFmtId="0" fontId="2" fillId="0" borderId="0" xfId="0" applyFont="1" applyProtection="1">
      <protection hidden="1"/>
    </xf>
    <xf numFmtId="0" fontId="0" fillId="7" borderId="0" xfId="0" applyFont="1" applyFill="1" applyBorder="1" applyProtection="1">
      <protection hidden="1"/>
    </xf>
    <xf numFmtId="0" fontId="5" fillId="0" borderId="0" xfId="0" applyFont="1" applyBorder="1" applyAlignment="1" applyProtection="1">
      <alignment horizontal="right"/>
      <protection hidden="1"/>
    </xf>
    <xf numFmtId="2" fontId="0" fillId="8" borderId="0" xfId="0" applyNumberFormat="1" applyFill="1" applyBorder="1" applyProtection="1">
      <protection hidden="1"/>
    </xf>
    <xf numFmtId="4" fontId="0" fillId="8" borderId="0" xfId="0" applyNumberFormat="1" applyFill="1" applyBorder="1" applyProtection="1">
      <protection hidden="1"/>
    </xf>
    <xf numFmtId="172" fontId="0" fillId="8" borderId="0" xfId="0" applyNumberFormat="1" applyFill="1" applyBorder="1" applyProtection="1">
      <protection hidden="1"/>
    </xf>
    <xf numFmtId="164" fontId="0" fillId="9" borderId="0" xfId="0" applyNumberFormat="1" applyFill="1" applyBorder="1" applyProtection="1">
      <protection hidden="1"/>
    </xf>
    <xf numFmtId="0" fontId="0" fillId="0" borderId="0" xfId="0" applyAlignment="1" applyProtection="1">
      <alignment horizontal="right"/>
      <protection hidden="1"/>
    </xf>
    <xf numFmtId="0" fontId="0" fillId="6" borderId="0" xfId="0" applyFont="1" applyFill="1" applyBorder="1" applyAlignment="1" applyProtection="1">
      <alignment horizontal="right"/>
      <protection hidden="1"/>
    </xf>
    <xf numFmtId="164" fontId="0" fillId="8" borderId="0" xfId="0" applyNumberFormat="1" applyFill="1" applyBorder="1" applyProtection="1">
      <protection hidden="1"/>
    </xf>
    <xf numFmtId="4" fontId="0" fillId="0" borderId="0" xfId="0" applyNumberFormat="1" applyFill="1" applyProtection="1">
      <protection hidden="1"/>
    </xf>
    <xf numFmtId="0" fontId="0" fillId="0" borderId="0" xfId="0" applyFont="1" applyBorder="1" applyAlignment="1" applyProtection="1">
      <alignment horizontal="right"/>
      <protection hidden="1"/>
    </xf>
    <xf numFmtId="0" fontId="8" fillId="0" borderId="0" xfId="0" applyFont="1" applyFill="1" applyBorder="1" applyAlignment="1" applyProtection="1">
      <alignment horizontal="center"/>
      <protection locked="0"/>
    </xf>
    <xf numFmtId="0" fontId="3" fillId="0" borderId="0" xfId="0" applyFont="1" applyFill="1" applyBorder="1" applyProtection="1">
      <protection locked="0"/>
    </xf>
    <xf numFmtId="0" fontId="0" fillId="0" borderId="0" xfId="0" applyFill="1" applyProtection="1">
      <protection locked="0"/>
    </xf>
    <xf numFmtId="0" fontId="10" fillId="0" borderId="0" xfId="0" applyFont="1" applyFill="1" applyBorder="1" applyAlignment="1" applyProtection="1">
      <alignment horizontal="center"/>
      <protection locked="0"/>
    </xf>
    <xf numFmtId="0" fontId="0" fillId="0" borderId="0" xfId="0" applyProtection="1">
      <protection locked="0"/>
    </xf>
    <xf numFmtId="0" fontId="0" fillId="0" borderId="0" xfId="0" applyBorder="1" applyProtection="1">
      <protection locked="0"/>
    </xf>
    <xf numFmtId="0" fontId="3" fillId="0" borderId="0" xfId="0" applyFont="1" applyProtection="1">
      <protection locked="0"/>
    </xf>
    <xf numFmtId="171" fontId="0" fillId="0" borderId="0" xfId="0" applyNumberFormat="1" applyFont="1" applyFill="1" applyBorder="1" applyAlignment="1" applyProtection="1">
      <alignment horizontal="center" vertical="center"/>
      <protection locked="0"/>
    </xf>
    <xf numFmtId="0" fontId="5" fillId="0" borderId="0" xfId="0" applyNumberFormat="1" applyFont="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protection locked="0"/>
    </xf>
    <xf numFmtId="0" fontId="0" fillId="0" borderId="0" xfId="0" applyNumberFormat="1" applyFont="1" applyBorder="1" applyAlignment="1" applyProtection="1">
      <alignment horizontal="left" vertical="center" wrapText="1"/>
      <protection locked="0"/>
    </xf>
    <xf numFmtId="0" fontId="3" fillId="0" borderId="0" xfId="0" applyFont="1" applyProtection="1">
      <protection hidden="1"/>
    </xf>
    <xf numFmtId="168" fontId="3" fillId="0" borderId="0" xfId="0" applyNumberFormat="1" applyFont="1" applyFill="1" applyBorder="1" applyAlignment="1" applyProtection="1">
      <alignment vertical="top" wrapText="1"/>
      <protection hidden="1"/>
    </xf>
    <xf numFmtId="0" fontId="3" fillId="0" borderId="0" xfId="0" applyFont="1" applyFill="1" applyBorder="1" applyProtection="1">
      <protection hidden="1"/>
    </xf>
    <xf numFmtId="164" fontId="3" fillId="0" borderId="0" xfId="0" applyNumberFormat="1" applyFont="1" applyFill="1" applyBorder="1" applyProtection="1">
      <protection hidden="1"/>
    </xf>
    <xf numFmtId="49" fontId="3" fillId="0" borderId="0" xfId="0" applyNumberFormat="1"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17" fontId="3" fillId="0" borderId="0" xfId="0" applyNumberFormat="1" applyFont="1" applyFill="1" applyBorder="1" applyAlignment="1" applyProtection="1">
      <alignment horizontal="left"/>
      <protection hidden="1"/>
    </xf>
    <xf numFmtId="166" fontId="3" fillId="0" borderId="0" xfId="0" applyNumberFormat="1" applyFont="1" applyFill="1" applyBorder="1" applyAlignment="1" applyProtection="1">
      <alignment horizontal="right"/>
      <protection hidden="1"/>
    </xf>
    <xf numFmtId="169" fontId="3" fillId="0" borderId="0" xfId="0" applyNumberFormat="1" applyFont="1" applyFill="1" applyBorder="1" applyAlignment="1" applyProtection="1">
      <alignment horizontal="right"/>
      <protection hidden="1"/>
    </xf>
    <xf numFmtId="0" fontId="3" fillId="0" borderId="0" xfId="0" applyFont="1" applyFill="1" applyBorder="1" applyAlignment="1" applyProtection="1">
      <alignment horizontal="right"/>
      <protection hidden="1"/>
    </xf>
    <xf numFmtId="0" fontId="0" fillId="11" borderId="0" xfId="0" applyFill="1"/>
    <xf numFmtId="0" fontId="0" fillId="0" borderId="0" xfId="0" quotePrefix="1"/>
    <xf numFmtId="167" fontId="0" fillId="0" borderId="0" xfId="0" applyNumberFormat="1"/>
    <xf numFmtId="0" fontId="0" fillId="0" borderId="0" xfId="0" applyProtection="1">
      <protection hidden="1"/>
    </xf>
    <xf numFmtId="0" fontId="0" fillId="0" borderId="2" xfId="0" applyBorder="1"/>
    <xf numFmtId="173" fontId="0" fillId="0" borderId="0" xfId="0" applyNumberFormat="1"/>
    <xf numFmtId="0" fontId="0" fillId="12" borderId="0" xfId="0" applyFill="1"/>
    <xf numFmtId="174" fontId="0" fillId="0" borderId="0" xfId="0" applyNumberFormat="1" applyProtection="1">
      <protection hidden="1"/>
    </xf>
    <xf numFmtId="174" fontId="0" fillId="0" borderId="0" xfId="0" applyNumberFormat="1"/>
    <xf numFmtId="174" fontId="0" fillId="13" borderId="0" xfId="0" applyNumberFormat="1" applyFill="1" applyBorder="1" applyProtection="1">
      <protection hidden="1"/>
    </xf>
    <xf numFmtId="174" fontId="0" fillId="14" borderId="0" xfId="0" applyNumberFormat="1" applyFill="1" applyProtection="1">
      <protection hidden="1"/>
    </xf>
    <xf numFmtId="0" fontId="0" fillId="0" borderId="0" xfId="0" applyProtection="1">
      <protection hidden="1"/>
    </xf>
    <xf numFmtId="0" fontId="3" fillId="0" borderId="0" xfId="0" applyFont="1" applyFill="1" applyProtection="1">
      <protection hidden="1"/>
    </xf>
    <xf numFmtId="1" fontId="0" fillId="0" borderId="0" xfId="0" applyNumberFormat="1" applyProtection="1">
      <protection hidden="1"/>
    </xf>
    <xf numFmtId="0" fontId="0" fillId="0" borderId="0" xfId="0" applyProtection="1">
      <protection hidden="1"/>
    </xf>
    <xf numFmtId="0" fontId="13" fillId="0" borderId="0" xfId="0" applyFont="1" applyProtection="1">
      <protection hidden="1"/>
    </xf>
    <xf numFmtId="0" fontId="13" fillId="0" borderId="0" xfId="0" applyFont="1" applyFill="1" applyProtection="1">
      <protection hidden="1"/>
    </xf>
    <xf numFmtId="0" fontId="13" fillId="0" borderId="0" xfId="0" applyFont="1" applyAlignment="1" applyProtection="1">
      <protection hidden="1"/>
    </xf>
    <xf numFmtId="0" fontId="0" fillId="0" borderId="0" xfId="0" applyProtection="1">
      <protection hidden="1"/>
    </xf>
    <xf numFmtId="0" fontId="0" fillId="0" borderId="0" xfId="0" applyProtection="1">
      <protection hidden="1"/>
    </xf>
    <xf numFmtId="0" fontId="8" fillId="0" borderId="0" xfId="0" applyFont="1" applyFill="1" applyBorder="1" applyAlignment="1" applyProtection="1">
      <alignment horizontal="center"/>
      <protection locked="0"/>
    </xf>
    <xf numFmtId="0" fontId="0" fillId="0" borderId="0" xfId="0" applyProtection="1">
      <protection hidden="1"/>
    </xf>
    <xf numFmtId="2" fontId="3" fillId="0" borderId="0" xfId="0" applyNumberFormat="1" applyFont="1" applyFill="1" applyBorder="1" applyAlignment="1" applyProtection="1">
      <alignment horizontal="right"/>
      <protection hidden="1"/>
    </xf>
    <xf numFmtId="0" fontId="0" fillId="15" borderId="0" xfId="0" applyFill="1"/>
    <xf numFmtId="0" fontId="0" fillId="15" borderId="2" xfId="0" applyFont="1" applyFill="1" applyBorder="1" applyProtection="1">
      <protection hidden="1"/>
    </xf>
    <xf numFmtId="0" fontId="0" fillId="15" borderId="2" xfId="0" applyFill="1" applyBorder="1" applyAlignment="1" applyProtection="1">
      <alignment wrapText="1"/>
      <protection hidden="1"/>
    </xf>
    <xf numFmtId="0" fontId="5" fillId="15" borderId="2" xfId="0" applyFont="1" applyFill="1" applyBorder="1" applyProtection="1">
      <protection hidden="1"/>
    </xf>
    <xf numFmtId="8" fontId="0" fillId="15" borderId="2" xfId="0" applyNumberFormat="1" applyFill="1" applyBorder="1" applyAlignment="1" applyProtection="1">
      <alignment horizontal="center"/>
      <protection hidden="1"/>
    </xf>
    <xf numFmtId="0" fontId="13" fillId="0" borderId="0" xfId="0" applyFont="1"/>
    <xf numFmtId="0" fontId="0" fillId="0" borderId="0" xfId="0" applyAlignment="1" applyProtection="1">
      <alignment horizontal="left" vertical="center"/>
      <protection hidden="1"/>
    </xf>
    <xf numFmtId="8" fontId="13" fillId="0" borderId="1" xfId="9" applyNumberFormat="1" applyFont="1" applyFill="1" applyBorder="1" applyAlignment="1" applyProtection="1">
      <alignment horizontal="right"/>
      <protection locked="0"/>
    </xf>
    <xf numFmtId="0" fontId="13" fillId="0" borderId="1" xfId="0" quotePrefix="1" applyFont="1" applyFill="1" applyBorder="1" applyAlignment="1" applyProtection="1">
      <alignment horizontal="left"/>
      <protection locked="0"/>
    </xf>
    <xf numFmtId="0" fontId="3" fillId="18" borderId="2" xfId="0" applyNumberFormat="1" applyFont="1" applyFill="1" applyBorder="1" applyAlignment="1" applyProtection="1">
      <alignment horizontal="left" vertical="top" wrapText="1"/>
      <protection locked="0"/>
    </xf>
    <xf numFmtId="0" fontId="11" fillId="0" borderId="0" xfId="0" applyFont="1"/>
    <xf numFmtId="49" fontId="13" fillId="0" borderId="0" xfId="0" applyNumberFormat="1" applyFont="1" applyBorder="1"/>
    <xf numFmtId="0" fontId="9" fillId="0" borderId="0" xfId="0" applyFont="1" applyAlignment="1">
      <alignment horizontal="center" vertical="center"/>
    </xf>
    <xf numFmtId="49" fontId="11" fillId="0" borderId="0" xfId="0" applyNumberFormat="1" applyFont="1" applyBorder="1" applyAlignment="1">
      <alignment horizontal="left"/>
    </xf>
    <xf numFmtId="49" fontId="18" fillId="0" borderId="0" xfId="13" applyNumberFormat="1" applyFont="1" applyBorder="1" applyAlignment="1">
      <alignment vertical="center"/>
    </xf>
    <xf numFmtId="0" fontId="13" fillId="0" borderId="0" xfId="0" applyFont="1" applyBorder="1"/>
    <xf numFmtId="0" fontId="6" fillId="0" borderId="0" xfId="0" applyFont="1" applyAlignment="1" applyProtection="1">
      <alignment vertical="center"/>
      <protection hidden="1"/>
    </xf>
    <xf numFmtId="49" fontId="19" fillId="0" borderId="0" xfId="13" applyNumberFormat="1" applyFont="1" applyBorder="1" applyAlignment="1">
      <alignment vertical="center"/>
    </xf>
    <xf numFmtId="0" fontId="11" fillId="0" borderId="0" xfId="0" applyFont="1" applyAlignment="1">
      <alignment horizontal="left" vertical="top" wrapText="1"/>
    </xf>
    <xf numFmtId="0" fontId="11" fillId="0" borderId="0" xfId="0" applyFont="1" applyAlignment="1">
      <alignment vertical="top" wrapText="1"/>
    </xf>
    <xf numFmtId="49" fontId="13" fillId="0" borderId="0" xfId="13" applyNumberFormat="1" applyFont="1" applyBorder="1" applyAlignment="1">
      <alignment vertical="top"/>
    </xf>
    <xf numFmtId="0" fontId="9" fillId="0" borderId="0" xfId="0" applyFont="1" applyAlignment="1">
      <alignment vertical="top"/>
    </xf>
    <xf numFmtId="0" fontId="13" fillId="0" borderId="3" xfId="0" applyFont="1" applyBorder="1"/>
    <xf numFmtId="0" fontId="13" fillId="0" borderId="6" xfId="0" applyFont="1" applyBorder="1"/>
    <xf numFmtId="0" fontId="6" fillId="0" borderId="0" xfId="0" applyFont="1" applyProtection="1">
      <protection hidden="1"/>
    </xf>
    <xf numFmtId="49" fontId="13" fillId="0" borderId="3" xfId="0" applyNumberFormat="1" applyFont="1" applyBorder="1" applyAlignment="1">
      <alignment horizontal="left"/>
    </xf>
    <xf numFmtId="49" fontId="13" fillId="0" borderId="0" xfId="0" applyNumberFormat="1" applyFont="1" applyBorder="1" applyAlignment="1">
      <alignment vertical="center"/>
    </xf>
    <xf numFmtId="0" fontId="20" fillId="0" borderId="0" xfId="0" applyFont="1"/>
    <xf numFmtId="49" fontId="11" fillId="0" borderId="5" xfId="0" applyNumberFormat="1" applyFont="1" applyBorder="1" applyAlignment="1">
      <alignment vertical="center"/>
    </xf>
    <xf numFmtId="49" fontId="13" fillId="0" borderId="3" xfId="0" applyNumberFormat="1" applyFont="1" applyBorder="1" applyAlignment="1">
      <alignment vertical="center"/>
    </xf>
    <xf numFmtId="49" fontId="11" fillId="0" borderId="5" xfId="13" applyNumberFormat="1" applyFont="1" applyBorder="1" applyAlignment="1">
      <alignment vertical="center"/>
    </xf>
    <xf numFmtId="49" fontId="18" fillId="0" borderId="3" xfId="13" applyNumberFormat="1" applyFont="1" applyBorder="1" applyAlignment="1">
      <alignment vertical="center"/>
    </xf>
    <xf numFmtId="0" fontId="13" fillId="0" borderId="0" xfId="8" applyFont="1" applyFill="1" applyBorder="1" applyAlignment="1" applyProtection="1">
      <alignment horizontal="center"/>
      <protection hidden="1"/>
    </xf>
    <xf numFmtId="0" fontId="13" fillId="0" borderId="0" xfId="8" applyFont="1" applyFill="1" applyBorder="1" applyAlignment="1" applyProtection="1">
      <alignment horizontal="left"/>
      <protection hidden="1"/>
    </xf>
    <xf numFmtId="14" fontId="12" fillId="0" borderId="0" xfId="8" applyNumberFormat="1" applyFill="1" applyBorder="1" applyAlignment="1" applyProtection="1">
      <alignment horizontal="left"/>
      <protection hidden="1"/>
    </xf>
    <xf numFmtId="0" fontId="3" fillId="0" borderId="0" xfId="0" applyNumberFormat="1" applyFont="1" applyAlignment="1" applyProtection="1">
      <alignment vertical="center" wrapText="1"/>
      <protection hidden="1"/>
    </xf>
    <xf numFmtId="0" fontId="0" fillId="0" borderId="0" xfId="0" applyNumberFormat="1" applyFont="1" applyBorder="1" applyAlignment="1" applyProtection="1">
      <alignment vertical="center"/>
      <protection hidden="1"/>
    </xf>
    <xf numFmtId="0" fontId="13" fillId="0" borderId="8" xfId="0" quotePrefix="1" applyFont="1" applyFill="1" applyBorder="1" applyAlignment="1" applyProtection="1">
      <alignment horizontal="left"/>
      <protection locked="0"/>
    </xf>
    <xf numFmtId="176" fontId="13" fillId="0" borderId="1" xfId="0" quotePrefix="1" applyNumberFormat="1" applyFont="1" applyFill="1" applyBorder="1" applyAlignment="1" applyProtection="1">
      <alignment horizontal="left"/>
      <protection locked="0"/>
    </xf>
    <xf numFmtId="49" fontId="13" fillId="0" borderId="1" xfId="0" applyNumberFormat="1" applyFont="1" applyFill="1" applyBorder="1" applyAlignment="1" applyProtection="1">
      <alignment horizontal="left"/>
      <protection locked="0"/>
    </xf>
    <xf numFmtId="0" fontId="13" fillId="0" borderId="1" xfId="0" applyFont="1" applyFill="1" applyBorder="1" applyAlignment="1" applyProtection="1">
      <alignment horizontal="left"/>
      <protection locked="0"/>
    </xf>
    <xf numFmtId="2" fontId="13" fillId="0" borderId="1" xfId="0" applyNumberFormat="1" applyFont="1" applyFill="1" applyBorder="1" applyAlignment="1" applyProtection="1">
      <alignment horizontal="left"/>
      <protection locked="0"/>
    </xf>
    <xf numFmtId="0" fontId="6" fillId="0" borderId="0" xfId="0" applyFont="1" applyAlignment="1" applyProtection="1">
      <alignment horizontal="right"/>
      <protection hidden="1"/>
    </xf>
    <xf numFmtId="0" fontId="6" fillId="0" borderId="0" xfId="0" applyFont="1" applyAlignment="1" applyProtection="1">
      <alignment horizontal="right" vertical="center"/>
      <protection hidden="1"/>
    </xf>
    <xf numFmtId="0" fontId="13" fillId="0" borderId="0" xfId="0" applyFont="1" applyProtection="1">
      <protection locked="0"/>
    </xf>
    <xf numFmtId="164" fontId="13" fillId="0" borderId="2" xfId="0" applyNumberFormat="1" applyFont="1" applyBorder="1" applyProtection="1">
      <protection locked="0"/>
    </xf>
    <xf numFmtId="0" fontId="0" fillId="0" borderId="0" xfId="0" applyProtection="1">
      <protection hidden="1"/>
    </xf>
    <xf numFmtId="0" fontId="0" fillId="0" borderId="0" xfId="0" applyProtection="1">
      <protection hidden="1"/>
    </xf>
    <xf numFmtId="8" fontId="5" fillId="14" borderId="0" xfId="0" applyNumberFormat="1" applyFont="1" applyFill="1" applyAlignment="1">
      <alignment horizontal="right" vertical="center" wrapText="1"/>
    </xf>
    <xf numFmtId="49" fontId="0" fillId="0" borderId="0" xfId="0" applyNumberFormat="1" applyAlignment="1">
      <alignment horizontal="right"/>
    </xf>
    <xf numFmtId="0" fontId="8" fillId="0" borderId="0" xfId="0" applyFont="1" applyFill="1" applyBorder="1" applyAlignment="1" applyProtection="1">
      <alignment horizontal="center"/>
      <protection locked="0"/>
    </xf>
    <xf numFmtId="0" fontId="0" fillId="0" borderId="0" xfId="0" applyProtection="1">
      <protection hidden="1"/>
    </xf>
    <xf numFmtId="0" fontId="0" fillId="19" borderId="0" xfId="0" applyFill="1"/>
    <xf numFmtId="173" fontId="0" fillId="0" borderId="2" xfId="0" applyNumberFormat="1" applyBorder="1" applyAlignment="1">
      <alignment horizontal="center"/>
    </xf>
    <xf numFmtId="0" fontId="0" fillId="0" borderId="0" xfId="0" applyProtection="1">
      <protection hidden="1"/>
    </xf>
    <xf numFmtId="0" fontId="0" fillId="0" borderId="0" xfId="0" applyAlignment="1">
      <alignment horizontal="center"/>
    </xf>
    <xf numFmtId="0" fontId="0" fillId="0" borderId="0" xfId="0" applyAlignment="1" applyProtection="1">
      <alignment horizontal="center"/>
      <protection locked="0"/>
    </xf>
    <xf numFmtId="0" fontId="0" fillId="21" borderId="0" xfId="0" applyFill="1"/>
    <xf numFmtId="0" fontId="0" fillId="0" borderId="0" xfId="0" applyAlignment="1" applyProtection="1">
      <alignment vertical="top"/>
      <protection locked="0"/>
    </xf>
    <xf numFmtId="173" fontId="2" fillId="23" borderId="2" xfId="0" applyNumberFormat="1" applyFont="1" applyFill="1" applyBorder="1" applyAlignment="1" applyProtection="1">
      <alignment horizontal="center"/>
      <protection locked="0"/>
    </xf>
    <xf numFmtId="0" fontId="2" fillId="0" borderId="0" xfId="7" applyFont="1" applyFill="1" applyBorder="1" applyAlignment="1" applyProtection="1">
      <protection locked="0"/>
    </xf>
    <xf numFmtId="0" fontId="3" fillId="0" borderId="0" xfId="7" applyFont="1" applyFill="1" applyBorder="1" applyAlignment="1" applyProtection="1">
      <alignment vertical="top" wrapText="1"/>
      <protection locked="0"/>
    </xf>
    <xf numFmtId="170" fontId="3" fillId="0" borderId="0" xfId="0" applyNumberFormat="1" applyFont="1" applyFill="1" applyBorder="1" applyAlignment="1" applyProtection="1">
      <protection hidden="1"/>
    </xf>
    <xf numFmtId="170" fontId="2" fillId="0" borderId="0" xfId="0" applyNumberFormat="1" applyFont="1" applyFill="1" applyBorder="1" applyAlignment="1" applyProtection="1">
      <protection hidden="1"/>
    </xf>
    <xf numFmtId="0" fontId="23" fillId="0" borderId="0" xfId="0" applyFont="1"/>
    <xf numFmtId="49" fontId="11" fillId="0" borderId="0" xfId="0" applyNumberFormat="1" applyFont="1" applyBorder="1" applyAlignment="1">
      <alignment vertical="center"/>
    </xf>
    <xf numFmtId="0" fontId="0" fillId="0" borderId="0" xfId="0" applyProtection="1">
      <protection hidden="1"/>
    </xf>
    <xf numFmtId="0" fontId="3" fillId="20" borderId="2" xfId="0" applyNumberFormat="1" applyFont="1" applyFill="1" applyBorder="1" applyAlignment="1" applyProtection="1">
      <alignment horizontal="left" vertical="top" wrapText="1"/>
      <protection locked="0"/>
    </xf>
    <xf numFmtId="0" fontId="24" fillId="0" borderId="0" xfId="0" applyFont="1" applyProtection="1">
      <protection hidden="1"/>
    </xf>
    <xf numFmtId="0" fontId="25" fillId="0" borderId="0" xfId="0" applyFont="1" applyProtection="1">
      <protection hidden="1"/>
    </xf>
    <xf numFmtId="166" fontId="3" fillId="0" borderId="1" xfId="0" applyNumberFormat="1" applyFont="1" applyFill="1" applyBorder="1" applyProtection="1">
      <protection locked="0" hidden="1"/>
    </xf>
    <xf numFmtId="166" fontId="3" fillId="0" borderId="27" xfId="0" applyNumberFormat="1" applyFont="1" applyFill="1" applyBorder="1" applyProtection="1">
      <protection locked="0" hidden="1"/>
    </xf>
    <xf numFmtId="2" fontId="27" fillId="22" borderId="0" xfId="0" applyNumberFormat="1" applyFont="1" applyFill="1" applyAlignment="1" applyProtection="1">
      <alignment vertical="center"/>
      <protection hidden="1"/>
    </xf>
    <xf numFmtId="0" fontId="2" fillId="0" borderId="0" xfId="0" applyFont="1" applyFill="1" applyBorder="1" applyAlignment="1" applyProtection="1">
      <alignment horizontal="left"/>
      <protection locked="0"/>
    </xf>
    <xf numFmtId="0" fontId="2" fillId="0" borderId="3" xfId="0" applyFont="1" applyFill="1" applyBorder="1" applyAlignment="1" applyProtection="1">
      <alignment horizontal="left"/>
      <protection locked="0"/>
    </xf>
    <xf numFmtId="0" fontId="0" fillId="0" borderId="0" xfId="0" applyProtection="1">
      <protection hidden="1"/>
    </xf>
    <xf numFmtId="0" fontId="3" fillId="0" borderId="0" xfId="0" applyFont="1" applyAlignment="1" applyProtection="1">
      <alignment horizontal="left"/>
      <protection hidden="1"/>
    </xf>
    <xf numFmtId="0" fontId="0" fillId="0" borderId="0" xfId="0" applyAlignment="1" applyProtection="1">
      <alignment horizontal="left"/>
      <protection hidden="1"/>
    </xf>
    <xf numFmtId="0" fontId="3" fillId="0" borderId="0" xfId="0" applyFont="1" applyAlignment="1" applyProtection="1">
      <alignment horizontal="left" vertical="center"/>
      <protection hidden="1"/>
    </xf>
    <xf numFmtId="0" fontId="3" fillId="0" borderId="0" xfId="0" applyFont="1" applyAlignment="1" applyProtection="1">
      <alignment horizontal="left" vertical="center"/>
      <protection locked="0"/>
    </xf>
    <xf numFmtId="0" fontId="0" fillId="0" borderId="0" xfId="0" applyProtection="1">
      <protection hidden="1"/>
    </xf>
    <xf numFmtId="173" fontId="2" fillId="28" borderId="2" xfId="0" applyNumberFormat="1" applyFont="1" applyFill="1" applyBorder="1" applyProtection="1"/>
    <xf numFmtId="173" fontId="2" fillId="24" borderId="2" xfId="0" applyNumberFormat="1" applyFont="1" applyFill="1" applyBorder="1" applyProtection="1">
      <protection hidden="1"/>
    </xf>
    <xf numFmtId="1" fontId="5" fillId="28" borderId="2" xfId="0" applyNumberFormat="1" applyFont="1" applyFill="1" applyBorder="1" applyAlignment="1" applyProtection="1">
      <alignment horizontal="right"/>
      <protection hidden="1"/>
    </xf>
    <xf numFmtId="2" fontId="2" fillId="28" borderId="2" xfId="0" applyNumberFormat="1" applyFont="1" applyFill="1" applyBorder="1" applyAlignment="1" applyProtection="1">
      <protection hidden="1"/>
    </xf>
    <xf numFmtId="0" fontId="0" fillId="0" borderId="0" xfId="0" applyAlignment="1" applyProtection="1">
      <alignment horizontal="right"/>
      <protection locked="0"/>
    </xf>
    <xf numFmtId="0" fontId="3" fillId="32" borderId="2" xfId="0" applyNumberFormat="1" applyFont="1" applyFill="1" applyBorder="1" applyAlignment="1" applyProtection="1">
      <alignment horizontal="left" vertical="top" wrapText="1"/>
      <protection locked="0"/>
    </xf>
    <xf numFmtId="0" fontId="2" fillId="35" borderId="2" xfId="0" applyNumberFormat="1" applyFont="1" applyFill="1" applyBorder="1" applyAlignment="1" applyProtection="1">
      <alignment horizontal="left" vertical="top" wrapText="1"/>
      <protection locked="0"/>
    </xf>
    <xf numFmtId="0" fontId="11" fillId="24" borderId="12" xfId="0" applyNumberFormat="1" applyFont="1" applyFill="1" applyBorder="1" applyAlignment="1" applyProtection="1">
      <alignment horizontal="center" vertical="center"/>
      <protection locked="0"/>
    </xf>
    <xf numFmtId="0" fontId="4" fillId="0" borderId="0" xfId="0" applyFont="1" applyFill="1" applyAlignment="1" applyProtection="1">
      <alignment horizontal="center"/>
      <protection locked="0"/>
    </xf>
    <xf numFmtId="49" fontId="3" fillId="16" borderId="2" xfId="1" applyNumberFormat="1" applyFont="1" applyFill="1" applyBorder="1" applyAlignment="1" applyProtection="1">
      <alignment horizontal="left" vertical="center" wrapText="1"/>
      <protection locked="0"/>
    </xf>
    <xf numFmtId="171" fontId="3" fillId="33" borderId="2" xfId="1" applyNumberFormat="1" applyFont="1" applyFill="1" applyBorder="1" applyAlignment="1" applyProtection="1">
      <alignment horizontal="center" vertical="center"/>
      <protection hidden="1"/>
    </xf>
    <xf numFmtId="164" fontId="3" fillId="23" borderId="2" xfId="0" applyNumberFormat="1" applyFont="1" applyFill="1" applyBorder="1" applyAlignment="1" applyProtection="1">
      <alignment horizontal="center" vertical="center"/>
      <protection locked="0"/>
    </xf>
    <xf numFmtId="10" fontId="3" fillId="33" borderId="2" xfId="1" applyNumberFormat="1" applyFont="1" applyFill="1" applyBorder="1" applyAlignment="1" applyProtection="1">
      <alignment horizontal="center" vertical="center"/>
      <protection hidden="1"/>
    </xf>
    <xf numFmtId="164" fontId="3" fillId="36" borderId="2" xfId="0" applyNumberFormat="1" applyFont="1" applyFill="1" applyBorder="1" applyAlignment="1" applyProtection="1">
      <alignment horizontal="center" vertical="center"/>
    </xf>
    <xf numFmtId="164" fontId="3" fillId="36" borderId="2" xfId="0" applyNumberFormat="1" applyFont="1" applyFill="1" applyBorder="1" applyAlignment="1" applyProtection="1">
      <alignment horizontal="center" vertical="center"/>
      <protection hidden="1"/>
    </xf>
    <xf numFmtId="0" fontId="2" fillId="16" borderId="14" xfId="1" applyNumberFormat="1" applyFont="1" applyFill="1" applyBorder="1" applyAlignment="1" applyProtection="1">
      <alignment vertical="center" wrapText="1"/>
      <protection locked="0"/>
    </xf>
    <xf numFmtId="164" fontId="2" fillId="33" borderId="2" xfId="1" applyNumberFormat="1" applyFont="1" applyFill="1" applyBorder="1" applyAlignment="1" applyProtection="1">
      <alignment horizontal="center" vertical="center"/>
      <protection hidden="1"/>
    </xf>
    <xf numFmtId="0" fontId="2" fillId="11" borderId="2" xfId="0" applyFont="1" applyFill="1" applyBorder="1" applyAlignment="1" applyProtection="1">
      <alignment vertical="center"/>
      <protection locked="0"/>
    </xf>
    <xf numFmtId="0" fontId="2" fillId="24" borderId="2" xfId="0" applyNumberFormat="1" applyFont="1" applyFill="1" applyBorder="1" applyAlignment="1" applyProtection="1">
      <alignment horizontal="center" vertical="center"/>
      <protection locked="0"/>
    </xf>
    <xf numFmtId="0" fontId="3" fillId="0" borderId="2" xfId="0" applyFont="1" applyBorder="1" applyProtection="1">
      <protection locked="0"/>
    </xf>
    <xf numFmtId="10" fontId="2" fillId="34" borderId="2" xfId="1" applyNumberFormat="1" applyFont="1" applyFill="1" applyBorder="1" applyAlignment="1" applyProtection="1">
      <alignment vertical="top" wrapText="1"/>
      <protection hidden="1"/>
    </xf>
    <xf numFmtId="164" fontId="3" fillId="33" borderId="2" xfId="1" applyNumberFormat="1" applyFont="1" applyFill="1" applyBorder="1" applyAlignment="1" applyProtection="1">
      <alignment horizontal="center"/>
      <protection hidden="1"/>
    </xf>
    <xf numFmtId="164" fontId="3" fillId="25" borderId="2" xfId="1" applyNumberFormat="1" applyFont="1" applyFill="1" applyBorder="1" applyAlignment="1" applyProtection="1">
      <alignment horizontal="center"/>
      <protection hidden="1"/>
    </xf>
    <xf numFmtId="173" fontId="2" fillId="34" borderId="2" xfId="1" applyNumberFormat="1" applyFont="1" applyFill="1" applyBorder="1" applyProtection="1">
      <protection hidden="1"/>
    </xf>
    <xf numFmtId="164" fontId="3" fillId="33" borderId="2" xfId="1" applyNumberFormat="1" applyFont="1" applyFill="1" applyBorder="1" applyProtection="1">
      <protection hidden="1"/>
    </xf>
    <xf numFmtId="10" fontId="2" fillId="34" borderId="2" xfId="1" applyNumberFormat="1" applyFont="1" applyFill="1" applyBorder="1" applyProtection="1">
      <protection hidden="1"/>
    </xf>
    <xf numFmtId="164" fontId="2" fillId="26" borderId="2" xfId="1" applyNumberFormat="1" applyFont="1" applyFill="1" applyBorder="1" applyAlignment="1" applyProtection="1">
      <alignment horizontal="center"/>
      <protection hidden="1"/>
    </xf>
    <xf numFmtId="0" fontId="32" fillId="0" borderId="0" xfId="0" applyFont="1" applyAlignment="1" applyProtection="1">
      <alignment horizontal="left" vertical="center"/>
      <protection hidden="1"/>
    </xf>
    <xf numFmtId="0" fontId="32" fillId="0" borderId="0" xfId="0" applyFont="1" applyProtection="1">
      <protection hidden="1"/>
    </xf>
    <xf numFmtId="0" fontId="30" fillId="0" borderId="0" xfId="0" applyFont="1" applyFill="1" applyAlignment="1" applyProtection="1">
      <alignment horizontal="left"/>
      <protection hidden="1"/>
    </xf>
    <xf numFmtId="0" fontId="3" fillId="0" borderId="0" xfId="0" applyFont="1" applyFill="1" applyAlignment="1" applyProtection="1">
      <alignment horizontal="left" vertical="center"/>
      <protection hidden="1"/>
    </xf>
    <xf numFmtId="0" fontId="3" fillId="0" borderId="0" xfId="0" applyFont="1" applyFill="1" applyAlignment="1" applyProtection="1">
      <alignment horizontal="left" vertical="center"/>
      <protection locked="0"/>
    </xf>
    <xf numFmtId="0" fontId="11" fillId="0" borderId="0" xfId="0" applyFont="1" applyAlignment="1" applyProtection="1">
      <alignment horizontal="left" vertical="center"/>
      <protection hidden="1"/>
    </xf>
    <xf numFmtId="0" fontId="11" fillId="0" borderId="0" xfId="0" applyFont="1" applyAlignment="1" applyProtection="1">
      <alignment horizontal="left"/>
      <protection hidden="1"/>
    </xf>
    <xf numFmtId="0" fontId="11" fillId="0" borderId="0" xfId="0" applyFont="1" applyProtection="1">
      <protection hidden="1"/>
    </xf>
    <xf numFmtId="0" fontId="3" fillId="0" borderId="0" xfId="0" applyFont="1" applyProtection="1">
      <protection hidden="1"/>
    </xf>
    <xf numFmtId="0" fontId="0" fillId="0" borderId="0" xfId="0" applyProtection="1">
      <protection hidden="1"/>
    </xf>
    <xf numFmtId="0" fontId="6" fillId="0" borderId="0" xfId="0" applyFont="1" applyFill="1" applyAlignment="1" applyProtection="1">
      <alignment vertical="center"/>
      <protection hidden="1"/>
    </xf>
    <xf numFmtId="0" fontId="16" fillId="0" borderId="0" xfId="0" applyFont="1" applyFill="1" applyAlignment="1" applyProtection="1">
      <alignment vertical="center"/>
      <protection hidden="1"/>
    </xf>
    <xf numFmtId="49" fontId="14" fillId="0" borderId="0" xfId="0" applyNumberFormat="1" applyFont="1" applyFill="1" applyBorder="1" applyAlignment="1" applyProtection="1">
      <alignment vertical="center" wrapText="1" shrinkToFit="1" readingOrder="1"/>
      <protection hidden="1"/>
    </xf>
    <xf numFmtId="0" fontId="21" fillId="0" borderId="0" xfId="0" applyFont="1" applyAlignment="1" applyProtection="1">
      <alignment vertical="center"/>
      <protection locked="0"/>
    </xf>
    <xf numFmtId="0" fontId="11" fillId="0" borderId="0" xfId="0" applyFont="1" applyProtection="1">
      <protection locked="0"/>
    </xf>
    <xf numFmtId="0" fontId="13" fillId="0" borderId="0" xfId="0" applyFont="1" applyAlignment="1" applyProtection="1">
      <protection locked="0"/>
    </xf>
    <xf numFmtId="0" fontId="13" fillId="0" borderId="0" xfId="0" applyFont="1" applyFill="1" applyAlignment="1" applyProtection="1">
      <protection locked="0"/>
    </xf>
    <xf numFmtId="0" fontId="22" fillId="0" borderId="0" xfId="0" applyFont="1" applyProtection="1">
      <protection locked="0"/>
    </xf>
    <xf numFmtId="0" fontId="2" fillId="29" borderId="2" xfId="0" applyFont="1" applyFill="1" applyBorder="1" applyAlignment="1" applyProtection="1">
      <alignment vertical="center"/>
      <protection locked="0"/>
    </xf>
    <xf numFmtId="0" fontId="2" fillId="29" borderId="2" xfId="0" applyFont="1" applyFill="1" applyBorder="1" applyAlignment="1" applyProtection="1">
      <alignment horizontal="left" vertical="center" wrapText="1"/>
      <protection locked="0"/>
    </xf>
    <xf numFmtId="0" fontId="2" fillId="29" borderId="2" xfId="0" applyFont="1" applyFill="1" applyBorder="1" applyAlignment="1" applyProtection="1">
      <alignment vertical="center" wrapText="1"/>
      <protection locked="0"/>
    </xf>
    <xf numFmtId="0" fontId="0" fillId="0" borderId="2" xfId="0" applyFont="1" applyBorder="1" applyAlignment="1" applyProtection="1">
      <alignment horizontal="left"/>
      <protection locked="0"/>
    </xf>
    <xf numFmtId="0" fontId="0" fillId="0" borderId="2" xfId="0" applyFont="1" applyBorder="1" applyAlignment="1" applyProtection="1">
      <alignment horizontal="center" vertical="center"/>
      <protection locked="0"/>
    </xf>
    <xf numFmtId="0" fontId="0" fillId="0" borderId="23" xfId="0" applyFont="1" applyBorder="1" applyAlignment="1" applyProtection="1">
      <alignment horizontal="left"/>
      <protection locked="0"/>
    </xf>
    <xf numFmtId="0" fontId="0" fillId="0" borderId="23" xfId="0" applyFont="1" applyBorder="1" applyAlignment="1" applyProtection="1">
      <alignment horizontal="center" vertical="center"/>
      <protection locked="0"/>
    </xf>
    <xf numFmtId="0" fontId="0" fillId="0" borderId="0" xfId="0" applyFont="1" applyProtection="1">
      <protection hidden="1"/>
    </xf>
    <xf numFmtId="0" fontId="5" fillId="0" borderId="0" xfId="0" applyFont="1" applyProtection="1">
      <protection hidden="1"/>
    </xf>
    <xf numFmtId="0" fontId="5" fillId="0" borderId="0" xfId="0" applyFont="1" applyAlignment="1" applyProtection="1">
      <alignment vertical="center"/>
      <protection hidden="1"/>
    </xf>
    <xf numFmtId="0" fontId="0" fillId="0" borderId="0" xfId="0" applyFont="1" applyFill="1" applyProtection="1">
      <protection hidden="1"/>
    </xf>
    <xf numFmtId="0" fontId="5" fillId="0" borderId="0" xfId="0" applyFont="1" applyAlignment="1" applyProtection="1">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left"/>
      <protection hidden="1"/>
    </xf>
    <xf numFmtId="0" fontId="0" fillId="0" borderId="0" xfId="0" applyFont="1" applyProtection="1">
      <protection locked="0"/>
    </xf>
    <xf numFmtId="1" fontId="13" fillId="0" borderId="2" xfId="1" applyNumberFormat="1" applyFont="1" applyFill="1" applyBorder="1" applyAlignment="1" applyProtection="1">
      <alignment horizontal="right"/>
      <protection locked="0"/>
    </xf>
    <xf numFmtId="0" fontId="0" fillId="0" borderId="0" xfId="0" applyProtection="1">
      <protection hidden="1"/>
    </xf>
    <xf numFmtId="0" fontId="11" fillId="0" borderId="0" xfId="0" applyFont="1" applyProtection="1">
      <protection hidden="1"/>
    </xf>
    <xf numFmtId="0" fontId="11" fillId="0" borderId="0" xfId="0" applyFont="1" applyProtection="1">
      <protection hidden="1"/>
    </xf>
    <xf numFmtId="0" fontId="0" fillId="0" borderId="0" xfId="0" applyProtection="1">
      <protection hidden="1"/>
    </xf>
    <xf numFmtId="4" fontId="0" fillId="14" borderId="0" xfId="0" applyNumberFormat="1" applyFill="1"/>
    <xf numFmtId="180" fontId="5" fillId="14" borderId="0" xfId="0" applyNumberFormat="1" applyFont="1" applyFill="1" applyAlignment="1">
      <alignment horizontal="right" vertical="center" wrapText="1"/>
    </xf>
    <xf numFmtId="0" fontId="11" fillId="0" borderId="0" xfId="0" applyFont="1" applyProtection="1">
      <protection hidden="1"/>
    </xf>
    <xf numFmtId="0" fontId="0" fillId="0" borderId="0" xfId="0" applyProtection="1">
      <protection hidden="1"/>
    </xf>
    <xf numFmtId="0" fontId="3" fillId="0" borderId="0" xfId="0" applyFont="1" applyProtection="1">
      <protection hidden="1"/>
    </xf>
    <xf numFmtId="0" fontId="0" fillId="0" borderId="0" xfId="0" applyProtection="1">
      <protection hidden="1"/>
    </xf>
    <xf numFmtId="49" fontId="0" fillId="0" borderId="0" xfId="0" applyNumberFormat="1" applyAlignment="1">
      <alignment horizontal="center"/>
    </xf>
    <xf numFmtId="0" fontId="11" fillId="0" borderId="0" xfId="0" applyFont="1" applyAlignment="1" applyProtection="1">
      <alignment horizontal="left"/>
      <protection hidden="1"/>
    </xf>
    <xf numFmtId="0" fontId="3" fillId="0" borderId="0" xfId="0" applyFont="1" applyProtection="1">
      <protection hidden="1"/>
    </xf>
    <xf numFmtId="0" fontId="0" fillId="0" borderId="0" xfId="0" applyProtection="1">
      <protection hidden="1"/>
    </xf>
    <xf numFmtId="164" fontId="3" fillId="27" borderId="2" xfId="0" quotePrefix="1" applyNumberFormat="1" applyFont="1" applyFill="1" applyBorder="1" applyAlignment="1" applyProtection="1">
      <alignment horizontal="center" vertical="center"/>
      <protection locked="0"/>
    </xf>
    <xf numFmtId="176" fontId="13" fillId="0" borderId="0" xfId="0" quotePrefix="1" applyNumberFormat="1" applyFont="1" applyFill="1" applyBorder="1" applyAlignment="1" applyProtection="1">
      <alignment horizontal="left"/>
      <protection hidden="1"/>
    </xf>
    <xf numFmtId="0" fontId="3" fillId="0" borderId="2" xfId="0" applyFont="1" applyBorder="1" applyProtection="1">
      <protection locked="0" hidden="1"/>
    </xf>
    <xf numFmtId="164" fontId="3" fillId="0" borderId="2" xfId="0" applyNumberFormat="1" applyFont="1" applyFill="1" applyBorder="1" applyAlignment="1" applyProtection="1">
      <alignment horizontal="right"/>
      <protection locked="0" hidden="1"/>
    </xf>
    <xf numFmtId="176" fontId="13" fillId="0" borderId="0" xfId="0" quotePrefix="1" applyNumberFormat="1" applyFont="1" applyFill="1" applyBorder="1" applyAlignment="1" applyProtection="1">
      <alignment horizontal="center" wrapText="1"/>
      <protection hidden="1"/>
    </xf>
    <xf numFmtId="49" fontId="3" fillId="0" borderId="2" xfId="0" applyNumberFormat="1" applyFont="1" applyFill="1" applyBorder="1" applyAlignment="1" applyProtection="1">
      <alignment horizontal="left"/>
      <protection locked="0"/>
    </xf>
    <xf numFmtId="0" fontId="13" fillId="0" borderId="2" xfId="0" quotePrefix="1" applyFont="1" applyFill="1" applyBorder="1" applyAlignment="1" applyProtection="1">
      <alignment horizontal="left"/>
      <protection locked="0"/>
    </xf>
    <xf numFmtId="0" fontId="13" fillId="0" borderId="2" xfId="0" applyFont="1" applyFill="1" applyBorder="1" applyAlignment="1" applyProtection="1">
      <alignment horizontal="left"/>
      <protection locked="0"/>
    </xf>
    <xf numFmtId="176" fontId="13" fillId="0" borderId="2" xfId="0" quotePrefix="1" applyNumberFormat="1" applyFont="1" applyFill="1" applyBorder="1" applyAlignment="1" applyProtection="1">
      <alignment horizontal="left"/>
      <protection locked="0"/>
    </xf>
    <xf numFmtId="173" fontId="13" fillId="10" borderId="2" xfId="0" applyNumberFormat="1" applyFont="1" applyFill="1" applyBorder="1" applyAlignment="1" applyProtection="1">
      <alignment horizontal="right" wrapText="1"/>
      <protection locked="0"/>
    </xf>
    <xf numFmtId="0" fontId="11" fillId="0" borderId="0" xfId="0" applyFont="1" applyAlignment="1" applyProtection="1">
      <alignment horizontal="left"/>
      <protection hidden="1"/>
    </xf>
    <xf numFmtId="0" fontId="0" fillId="0" borderId="0" xfId="0" applyProtection="1">
      <protection hidden="1"/>
    </xf>
    <xf numFmtId="0" fontId="0" fillId="0" borderId="0" xfId="0" applyAlignment="1">
      <alignment vertical="top"/>
    </xf>
    <xf numFmtId="0" fontId="3" fillId="0" borderId="0" xfId="0" applyFont="1" applyProtection="1">
      <protection hidden="1"/>
    </xf>
    <xf numFmtId="0" fontId="0" fillId="0" borderId="0" xfId="0" applyProtection="1">
      <protection hidden="1"/>
    </xf>
    <xf numFmtId="173" fontId="3" fillId="10" borderId="2" xfId="0" applyNumberFormat="1" applyFont="1" applyFill="1" applyBorder="1" applyAlignment="1" applyProtection="1">
      <alignment horizontal="right" wrapText="1"/>
      <protection locked="0"/>
    </xf>
    <xf numFmtId="173" fontId="3" fillId="0" borderId="2" xfId="0" quotePrefix="1" applyNumberFormat="1" applyFont="1" applyFill="1" applyBorder="1" applyProtection="1">
      <protection locked="0"/>
    </xf>
    <xf numFmtId="0" fontId="0" fillId="0" borderId="0" xfId="0" quotePrefix="1" applyAlignment="1">
      <alignment horizontal="center"/>
    </xf>
    <xf numFmtId="0" fontId="11" fillId="18" borderId="33" xfId="0" applyFont="1" applyFill="1" applyBorder="1" applyAlignment="1" applyProtection="1">
      <alignment vertical="top" wrapText="1"/>
      <protection hidden="1"/>
    </xf>
    <xf numFmtId="49" fontId="2" fillId="40" borderId="2" xfId="0" applyNumberFormat="1" applyFont="1" applyFill="1" applyBorder="1" applyAlignment="1" applyProtection="1">
      <protection hidden="1"/>
    </xf>
    <xf numFmtId="173" fontId="2" fillId="40" borderId="2" xfId="0" applyNumberFormat="1" applyFont="1" applyFill="1" applyBorder="1" applyAlignment="1" applyProtection="1">
      <alignment horizontal="right"/>
      <protection hidden="1"/>
    </xf>
    <xf numFmtId="0" fontId="11" fillId="39" borderId="31" xfId="0" applyFont="1" applyFill="1" applyBorder="1" applyAlignment="1" applyProtection="1">
      <alignment vertical="top" wrapText="1"/>
      <protection hidden="1"/>
    </xf>
    <xf numFmtId="1" fontId="13" fillId="40" borderId="1" xfId="1" applyNumberFormat="1" applyFont="1" applyFill="1" applyBorder="1" applyAlignment="1" applyProtection="1">
      <alignment horizontal="left"/>
      <protection hidden="1"/>
    </xf>
    <xf numFmtId="2" fontId="13" fillId="40" borderId="1" xfId="1" applyNumberFormat="1" applyFont="1" applyFill="1" applyBorder="1" applyAlignment="1" applyProtection="1">
      <alignment horizontal="left"/>
      <protection hidden="1"/>
    </xf>
    <xf numFmtId="164" fontId="13" fillId="40" borderId="1" xfId="0" applyNumberFormat="1" applyFont="1" applyFill="1" applyBorder="1" applyProtection="1">
      <protection hidden="1"/>
    </xf>
    <xf numFmtId="0" fontId="11" fillId="39" borderId="32" xfId="0" applyFont="1" applyFill="1" applyBorder="1" applyAlignment="1" applyProtection="1">
      <alignment vertical="center" wrapText="1"/>
      <protection hidden="1"/>
    </xf>
    <xf numFmtId="175" fontId="11" fillId="40" borderId="24" xfId="0" applyNumberFormat="1" applyFont="1" applyFill="1" applyBorder="1" applyAlignment="1" applyProtection="1">
      <alignment horizontal="left"/>
      <protection hidden="1"/>
    </xf>
    <xf numFmtId="175" fontId="17" fillId="40" borderId="25" xfId="0" applyNumberFormat="1" applyFont="1" applyFill="1" applyBorder="1" applyProtection="1">
      <protection hidden="1"/>
    </xf>
    <xf numFmtId="173" fontId="17" fillId="40" borderId="25" xfId="0" applyNumberFormat="1" applyFont="1" applyFill="1" applyBorder="1" applyProtection="1">
      <protection hidden="1"/>
    </xf>
    <xf numFmtId="173" fontId="13" fillId="0" borderId="1" xfId="0" quotePrefix="1" applyNumberFormat="1" applyFont="1" applyFill="1" applyBorder="1" applyProtection="1">
      <protection locked="0"/>
    </xf>
    <xf numFmtId="0" fontId="11" fillId="39" borderId="0" xfId="0" applyFont="1" applyFill="1" applyBorder="1" applyAlignment="1" applyProtection="1">
      <alignment horizontal="center" wrapText="1"/>
      <protection hidden="1"/>
    </xf>
    <xf numFmtId="164" fontId="13" fillId="40" borderId="0" xfId="0" applyNumberFormat="1" applyFont="1" applyFill="1" applyBorder="1" applyProtection="1">
      <protection hidden="1"/>
    </xf>
    <xf numFmtId="49" fontId="13" fillId="0" borderId="50" xfId="0" applyNumberFormat="1" applyFont="1" applyFill="1" applyBorder="1" applyAlignment="1" applyProtection="1">
      <alignment horizontal="left"/>
      <protection locked="0"/>
    </xf>
    <xf numFmtId="0" fontId="13" fillId="0" borderId="51" xfId="0" quotePrefix="1" applyFont="1" applyFill="1" applyBorder="1" applyAlignment="1" applyProtection="1">
      <alignment horizontal="left"/>
      <protection locked="0"/>
    </xf>
    <xf numFmtId="0" fontId="13" fillId="0" borderId="50" xfId="0" quotePrefix="1" applyFont="1" applyFill="1" applyBorder="1" applyAlignment="1" applyProtection="1">
      <alignment horizontal="left"/>
      <protection locked="0"/>
    </xf>
    <xf numFmtId="0" fontId="13" fillId="0" borderId="50" xfId="0" applyFont="1" applyFill="1" applyBorder="1" applyAlignment="1" applyProtection="1">
      <alignment horizontal="left"/>
      <protection locked="0"/>
    </xf>
    <xf numFmtId="176" fontId="13" fillId="0" borderId="50" xfId="0" quotePrefix="1" applyNumberFormat="1" applyFont="1" applyFill="1" applyBorder="1" applyAlignment="1" applyProtection="1">
      <alignment horizontal="left"/>
      <protection locked="0"/>
    </xf>
    <xf numFmtId="1" fontId="13" fillId="40" borderId="50" xfId="1" applyNumberFormat="1" applyFont="1" applyFill="1" applyBorder="1" applyAlignment="1" applyProtection="1">
      <alignment horizontal="left"/>
      <protection hidden="1"/>
    </xf>
    <xf numFmtId="2" fontId="13" fillId="0" borderId="50" xfId="0" applyNumberFormat="1" applyFont="1" applyFill="1" applyBorder="1" applyAlignment="1" applyProtection="1">
      <alignment horizontal="left"/>
      <protection locked="0"/>
    </xf>
    <xf numFmtId="2" fontId="13" fillId="40" borderId="50" xfId="1" applyNumberFormat="1" applyFont="1" applyFill="1" applyBorder="1" applyAlignment="1" applyProtection="1">
      <alignment horizontal="left"/>
      <protection hidden="1"/>
    </xf>
    <xf numFmtId="8" fontId="13" fillId="0" borderId="50" xfId="9" applyNumberFormat="1" applyFont="1" applyFill="1" applyBorder="1" applyAlignment="1" applyProtection="1">
      <alignment horizontal="right"/>
      <protection locked="0"/>
    </xf>
    <xf numFmtId="164" fontId="17" fillId="40" borderId="40" xfId="0" applyNumberFormat="1" applyFont="1" applyFill="1" applyBorder="1" applyProtection="1">
      <protection hidden="1"/>
    </xf>
    <xf numFmtId="0" fontId="11" fillId="39" borderId="54" xfId="0" applyFont="1" applyFill="1" applyBorder="1" applyAlignment="1" applyProtection="1">
      <alignment vertical="top" wrapText="1"/>
      <protection hidden="1"/>
    </xf>
    <xf numFmtId="0" fontId="11" fillId="39" borderId="32" xfId="0" applyFont="1" applyFill="1" applyBorder="1" applyAlignment="1" applyProtection="1">
      <alignment vertical="top" wrapText="1"/>
      <protection hidden="1"/>
    </xf>
    <xf numFmtId="0" fontId="11" fillId="39" borderId="52" xfId="0" applyFont="1" applyFill="1" applyBorder="1" applyAlignment="1" applyProtection="1">
      <alignment vertical="top" wrapText="1"/>
      <protection hidden="1"/>
    </xf>
    <xf numFmtId="49" fontId="11" fillId="40" borderId="2" xfId="0" applyNumberFormat="1" applyFont="1" applyFill="1" applyBorder="1" applyAlignment="1" applyProtection="1">
      <protection hidden="1"/>
    </xf>
    <xf numFmtId="1" fontId="11" fillId="40" borderId="2" xfId="0" applyNumberFormat="1" applyFont="1" applyFill="1" applyBorder="1" applyAlignment="1" applyProtection="1">
      <alignment horizontal="left"/>
      <protection hidden="1"/>
    </xf>
    <xf numFmtId="173" fontId="11" fillId="40" borderId="2" xfId="0" applyNumberFormat="1" applyFont="1" applyFill="1" applyBorder="1" applyAlignment="1" applyProtection="1">
      <alignment horizontal="right"/>
      <protection hidden="1"/>
    </xf>
    <xf numFmtId="49" fontId="34" fillId="40" borderId="2" xfId="0" applyNumberFormat="1" applyFont="1" applyFill="1" applyBorder="1" applyAlignment="1" applyProtection="1">
      <protection hidden="1"/>
    </xf>
    <xf numFmtId="164" fontId="3" fillId="39" borderId="2" xfId="7" applyNumberFormat="1" applyFont="1" applyFill="1" applyBorder="1" applyProtection="1">
      <protection hidden="1"/>
    </xf>
    <xf numFmtId="1" fontId="33" fillId="40" borderId="2" xfId="1" applyNumberFormat="1" applyFont="1" applyFill="1" applyBorder="1" applyAlignment="1" applyProtection="1">
      <alignment horizontal="left"/>
      <protection hidden="1"/>
    </xf>
    <xf numFmtId="49" fontId="11" fillId="40" borderId="14" xfId="0" applyNumberFormat="1" applyFont="1" applyFill="1" applyBorder="1" applyAlignment="1" applyProtection="1">
      <protection hidden="1"/>
    </xf>
    <xf numFmtId="49" fontId="11" fillId="40" borderId="9" xfId="0" applyNumberFormat="1" applyFont="1" applyFill="1" applyBorder="1" applyAlignment="1" applyProtection="1">
      <protection hidden="1"/>
    </xf>
    <xf numFmtId="0" fontId="5" fillId="38" borderId="55" xfId="0" applyFont="1" applyFill="1" applyBorder="1" applyAlignment="1" applyProtection="1">
      <alignment horizontal="center"/>
      <protection hidden="1"/>
    </xf>
    <xf numFmtId="0" fontId="5" fillId="38" borderId="56" xfId="0" applyFont="1" applyFill="1" applyBorder="1" applyAlignment="1" applyProtection="1">
      <alignment horizontal="center"/>
      <protection hidden="1"/>
    </xf>
    <xf numFmtId="0" fontId="5" fillId="38" borderId="57" xfId="0" applyFont="1" applyFill="1" applyBorder="1" applyAlignment="1" applyProtection="1">
      <alignment horizontal="center"/>
      <protection hidden="1"/>
    </xf>
    <xf numFmtId="0" fontId="3" fillId="0" borderId="0" xfId="0" applyFont="1" applyProtection="1">
      <protection hidden="1"/>
    </xf>
    <xf numFmtId="0" fontId="0" fillId="0" borderId="0" xfId="0" applyFill="1" applyProtection="1"/>
    <xf numFmtId="173" fontId="0" fillId="0" borderId="0" xfId="0" applyNumberFormat="1" applyFill="1" applyProtection="1"/>
    <xf numFmtId="49" fontId="13" fillId="38" borderId="2" xfId="0" applyNumberFormat="1" applyFont="1" applyFill="1" applyBorder="1" applyAlignment="1" applyProtection="1">
      <alignment horizontal="left"/>
      <protection hidden="1"/>
    </xf>
    <xf numFmtId="49" fontId="13" fillId="38" borderId="2" xfId="0" quotePrefix="1" applyNumberFormat="1" applyFont="1" applyFill="1" applyBorder="1" applyAlignment="1" applyProtection="1">
      <alignment horizontal="left"/>
      <protection hidden="1"/>
    </xf>
    <xf numFmtId="1" fontId="13" fillId="40" borderId="2" xfId="1" applyNumberFormat="1" applyFont="1" applyFill="1" applyBorder="1" applyAlignment="1" applyProtection="1">
      <alignment horizontal="left"/>
      <protection hidden="1"/>
    </xf>
    <xf numFmtId="2" fontId="13" fillId="38" borderId="2" xfId="0" applyNumberFormat="1" applyFont="1" applyFill="1" applyBorder="1" applyAlignment="1" applyProtection="1">
      <alignment horizontal="left"/>
      <protection hidden="1"/>
    </xf>
    <xf numFmtId="0" fontId="3" fillId="43" borderId="0" xfId="0" applyFont="1" applyFill="1" applyAlignment="1" applyProtection="1">
      <alignment vertical="center" wrapText="1"/>
      <protection hidden="1"/>
    </xf>
    <xf numFmtId="173" fontId="3" fillId="38" borderId="34" xfId="0" applyNumberFormat="1" applyFont="1" applyFill="1" applyBorder="1" applyProtection="1">
      <protection hidden="1"/>
    </xf>
    <xf numFmtId="173" fontId="3" fillId="38" borderId="2" xfId="0" applyNumberFormat="1" applyFont="1" applyFill="1" applyBorder="1" applyProtection="1">
      <protection hidden="1"/>
    </xf>
    <xf numFmtId="173" fontId="3" fillId="38" borderId="58" xfId="0" applyNumberFormat="1" applyFont="1" applyFill="1" applyBorder="1" applyProtection="1">
      <protection hidden="1"/>
    </xf>
    <xf numFmtId="173" fontId="3" fillId="38" borderId="59" xfId="0" applyNumberFormat="1" applyFont="1" applyFill="1" applyBorder="1" applyProtection="1">
      <protection hidden="1"/>
    </xf>
    <xf numFmtId="173" fontId="3" fillId="38" borderId="60" xfId="0" applyNumberFormat="1" applyFont="1" applyFill="1" applyBorder="1" applyProtection="1">
      <protection hidden="1"/>
    </xf>
    <xf numFmtId="173" fontId="3" fillId="38" borderId="61" xfId="0" applyNumberFormat="1" applyFont="1" applyFill="1" applyBorder="1" applyProtection="1">
      <protection hidden="1"/>
    </xf>
    <xf numFmtId="175" fontId="13" fillId="40" borderId="2" xfId="0" applyNumberFormat="1" applyFont="1" applyFill="1" applyBorder="1" applyProtection="1">
      <protection hidden="1"/>
    </xf>
    <xf numFmtId="175" fontId="13" fillId="40" borderId="1" xfId="0" applyNumberFormat="1" applyFont="1" applyFill="1" applyBorder="1" applyProtection="1">
      <protection hidden="1"/>
    </xf>
    <xf numFmtId="2" fontId="17" fillId="40" borderId="53" xfId="0" applyNumberFormat="1" applyFont="1" applyFill="1" applyBorder="1" applyProtection="1">
      <protection hidden="1"/>
    </xf>
    <xf numFmtId="0" fontId="0" fillId="0" borderId="0" xfId="0" applyProtection="1">
      <protection hidden="1"/>
    </xf>
    <xf numFmtId="164" fontId="3" fillId="39" borderId="58" xfId="0" applyNumberFormat="1" applyFont="1" applyFill="1" applyBorder="1" applyAlignment="1" applyProtection="1"/>
    <xf numFmtId="0" fontId="2" fillId="39" borderId="59" xfId="0" applyFont="1" applyFill="1" applyBorder="1" applyAlignment="1" applyProtection="1"/>
    <xf numFmtId="0" fontId="2" fillId="39" borderId="60" xfId="0" applyFont="1" applyFill="1" applyBorder="1" applyAlignment="1" applyProtection="1"/>
    <xf numFmtId="164" fontId="2" fillId="39" borderId="61" xfId="0" applyNumberFormat="1" applyFont="1" applyFill="1" applyBorder="1" applyAlignment="1" applyProtection="1"/>
    <xf numFmtId="2" fontId="13" fillId="0" borderId="1" xfId="0" quotePrefix="1" applyNumberFormat="1" applyFont="1" applyFill="1" applyBorder="1" applyProtection="1">
      <protection locked="0"/>
    </xf>
    <xf numFmtId="2" fontId="13" fillId="0" borderId="50" xfId="0" quotePrefix="1" applyNumberFormat="1" applyFont="1" applyFill="1" applyBorder="1" applyProtection="1">
      <protection locked="0"/>
    </xf>
    <xf numFmtId="173" fontId="17" fillId="40" borderId="53" xfId="0" applyNumberFormat="1" applyFont="1" applyFill="1" applyBorder="1" applyProtection="1">
      <protection hidden="1"/>
    </xf>
    <xf numFmtId="173" fontId="13" fillId="16" borderId="2" xfId="1" applyNumberFormat="1" applyFont="1" applyFill="1" applyBorder="1" applyAlignment="1" applyProtection="1">
      <alignment horizontal="left"/>
      <protection hidden="1"/>
    </xf>
    <xf numFmtId="182" fontId="0" fillId="0" borderId="0" xfId="0" applyNumberFormat="1"/>
    <xf numFmtId="173" fontId="0" fillId="0" borderId="2" xfId="0" applyNumberFormat="1" applyBorder="1"/>
    <xf numFmtId="182" fontId="0" fillId="0" borderId="2" xfId="0" applyNumberFormat="1" applyBorder="1"/>
    <xf numFmtId="0" fontId="0" fillId="0" borderId="0" xfId="0" applyProtection="1">
      <protection hidden="1"/>
    </xf>
    <xf numFmtId="173" fontId="13" fillId="0" borderId="2" xfId="1" applyNumberFormat="1" applyFont="1" applyFill="1" applyBorder="1" applyAlignment="1" applyProtection="1">
      <protection locked="0"/>
    </xf>
    <xf numFmtId="49" fontId="13" fillId="38" borderId="34" xfId="0" applyNumberFormat="1" applyFont="1" applyFill="1" applyBorder="1" applyAlignment="1" applyProtection="1">
      <alignment horizontal="left"/>
      <protection hidden="1"/>
    </xf>
    <xf numFmtId="173" fontId="11" fillId="16" borderId="60" xfId="1" applyNumberFormat="1" applyFont="1" applyFill="1" applyBorder="1" applyAlignment="1" applyProtection="1">
      <alignment horizontal="center" vertical="center"/>
      <protection hidden="1"/>
    </xf>
    <xf numFmtId="173" fontId="11" fillId="41" borderId="60" xfId="8" applyNumberFormat="1" applyFont="1" applyFill="1" applyBorder="1" applyAlignment="1" applyProtection="1">
      <alignment horizontal="center" vertical="center"/>
      <protection hidden="1"/>
    </xf>
    <xf numFmtId="164" fontId="11" fillId="41" borderId="60" xfId="8" applyNumberFormat="1" applyFont="1" applyFill="1" applyBorder="1" applyAlignment="1" applyProtection="1">
      <alignment horizontal="center" vertical="center"/>
      <protection hidden="1"/>
    </xf>
    <xf numFmtId="173" fontId="11" fillId="17" borderId="60" xfId="8" applyNumberFormat="1" applyFont="1" applyFill="1" applyBorder="1" applyAlignment="1" applyProtection="1">
      <alignment horizontal="center" vertical="center"/>
      <protection hidden="1"/>
    </xf>
    <xf numFmtId="164" fontId="11" fillId="17" borderId="61" xfId="8" applyNumberFormat="1" applyFont="1" applyFill="1" applyBorder="1" applyAlignment="1" applyProtection="1">
      <alignment horizontal="center" vertical="center"/>
      <protection hidden="1"/>
    </xf>
    <xf numFmtId="10" fontId="12" fillId="41" borderId="2" xfId="8" applyNumberFormat="1" applyFill="1" applyBorder="1" applyAlignment="1" applyProtection="1">
      <alignment horizontal="center"/>
      <protection hidden="1"/>
    </xf>
    <xf numFmtId="10" fontId="12" fillId="41" borderId="58" xfId="8" applyNumberFormat="1" applyFill="1" applyBorder="1" applyAlignment="1" applyProtection="1">
      <alignment horizontal="center"/>
      <protection hidden="1"/>
    </xf>
    <xf numFmtId="0" fontId="2" fillId="29" borderId="34" xfId="0" applyFont="1" applyFill="1" applyBorder="1" applyAlignment="1" applyProtection="1">
      <alignment horizontal="left" vertical="center" wrapText="1"/>
      <protection locked="0"/>
    </xf>
    <xf numFmtId="164" fontId="2" fillId="28" borderId="2" xfId="1" applyNumberFormat="1" applyFont="1" applyFill="1" applyBorder="1" applyProtection="1">
      <protection hidden="1"/>
    </xf>
    <xf numFmtId="0" fontId="0" fillId="0" borderId="0" xfId="0" applyProtection="1">
      <protection hidden="1"/>
    </xf>
    <xf numFmtId="0" fontId="3" fillId="38" borderId="34" xfId="0" applyFont="1" applyFill="1" applyBorder="1" applyAlignment="1" applyProtection="1">
      <alignment horizontal="left" vertical="center"/>
      <protection locked="0" hidden="1"/>
    </xf>
    <xf numFmtId="164" fontId="3" fillId="39" borderId="2" xfId="0" quotePrefix="1" applyNumberFormat="1" applyFont="1" applyFill="1" applyBorder="1" applyAlignment="1" applyProtection="1">
      <alignment horizontal="center" vertical="center"/>
      <protection locked="0"/>
    </xf>
    <xf numFmtId="0" fontId="3" fillId="38" borderId="2" xfId="0" applyFont="1" applyFill="1" applyBorder="1" applyAlignment="1" applyProtection="1">
      <alignment horizontal="center" vertical="center"/>
      <protection locked="0" hidden="1"/>
    </xf>
    <xf numFmtId="173" fontId="3" fillId="38" borderId="2" xfId="0" applyNumberFormat="1" applyFont="1" applyFill="1" applyBorder="1" applyAlignment="1" applyProtection="1">
      <alignment horizontal="center" vertical="center"/>
      <protection locked="0" hidden="1"/>
    </xf>
    <xf numFmtId="0" fontId="2" fillId="31" borderId="31" xfId="0" applyFont="1" applyFill="1" applyBorder="1" applyAlignment="1" applyProtection="1">
      <alignment vertical="center"/>
      <protection hidden="1"/>
    </xf>
    <xf numFmtId="0" fontId="2" fillId="31" borderId="32" xfId="0" applyFont="1" applyFill="1" applyBorder="1" applyAlignment="1" applyProtection="1">
      <alignment vertical="center"/>
      <protection hidden="1"/>
    </xf>
    <xf numFmtId="0" fontId="2" fillId="31" borderId="33" xfId="0" applyFont="1" applyFill="1" applyBorder="1" applyAlignment="1" applyProtection="1">
      <alignment vertical="center"/>
      <protection hidden="1"/>
    </xf>
    <xf numFmtId="0" fontId="3" fillId="38" borderId="2" xfId="0" quotePrefix="1" applyNumberFormat="1" applyFont="1" applyFill="1" applyBorder="1" applyAlignment="1" applyProtection="1">
      <alignment horizontal="center" vertical="center" wrapText="1"/>
      <protection locked="0"/>
    </xf>
    <xf numFmtId="49" fontId="3" fillId="38" borderId="2" xfId="0" quotePrefix="1" applyNumberFormat="1" applyFont="1" applyFill="1" applyBorder="1" applyAlignment="1" applyProtection="1">
      <alignment horizontal="center" vertical="center" wrapText="1"/>
      <protection locked="0"/>
    </xf>
    <xf numFmtId="0" fontId="2" fillId="40" borderId="14" xfId="1" applyNumberFormat="1" applyFont="1" applyFill="1" applyBorder="1" applyAlignment="1" applyProtection="1">
      <alignment vertical="center" wrapText="1"/>
      <protection locked="0"/>
    </xf>
    <xf numFmtId="0" fontId="2" fillId="40" borderId="9" xfId="1" applyNumberFormat="1" applyFont="1" applyFill="1" applyBorder="1" applyAlignment="1" applyProtection="1">
      <alignment vertical="center" wrapText="1"/>
      <protection locked="0"/>
    </xf>
    <xf numFmtId="0" fontId="2" fillId="40" borderId="15" xfId="1" applyNumberFormat="1" applyFont="1" applyFill="1" applyBorder="1" applyAlignment="1" applyProtection="1">
      <alignment vertical="center" wrapText="1"/>
      <protection locked="0"/>
    </xf>
    <xf numFmtId="171" fontId="2" fillId="40" borderId="2" xfId="1" applyNumberFormat="1" applyFont="1" applyFill="1" applyBorder="1" applyAlignment="1" applyProtection="1">
      <alignment vertical="center"/>
      <protection hidden="1"/>
    </xf>
    <xf numFmtId="164" fontId="2" fillId="40" borderId="2" xfId="1" applyNumberFormat="1" applyFont="1" applyFill="1" applyBorder="1" applyAlignment="1" applyProtection="1">
      <alignment horizontal="center" vertical="center"/>
      <protection hidden="1"/>
    </xf>
    <xf numFmtId="164" fontId="3" fillId="38" borderId="2" xfId="0" applyNumberFormat="1" applyFont="1" applyFill="1" applyBorder="1" applyAlignment="1" applyProtection="1">
      <alignment horizontal="center" vertical="center"/>
      <protection locked="0"/>
    </xf>
    <xf numFmtId="173" fontId="2" fillId="40" borderId="2" xfId="1" applyNumberFormat="1" applyFont="1" applyFill="1" applyBorder="1" applyAlignment="1" applyProtection="1">
      <alignment horizontal="center" vertical="center"/>
      <protection hidden="1"/>
    </xf>
    <xf numFmtId="10" fontId="3" fillId="40" borderId="2" xfId="1" applyNumberFormat="1" applyFont="1" applyFill="1" applyBorder="1" applyAlignment="1" applyProtection="1">
      <alignment horizontal="center" vertical="center"/>
      <protection hidden="1"/>
    </xf>
    <xf numFmtId="173" fontId="5" fillId="40" borderId="2" xfId="1" applyNumberFormat="1" applyFont="1" applyFill="1" applyBorder="1" applyAlignment="1" applyProtection="1">
      <alignment horizontal="center" vertical="center"/>
      <protection hidden="1"/>
    </xf>
    <xf numFmtId="0" fontId="0" fillId="0" borderId="0" xfId="0" applyProtection="1">
      <protection hidden="1"/>
    </xf>
    <xf numFmtId="0" fontId="13" fillId="16" borderId="2" xfId="0" applyFont="1" applyFill="1" applyBorder="1" applyAlignment="1" applyProtection="1">
      <alignment horizontal="left" vertical="center"/>
      <protection hidden="1"/>
    </xf>
    <xf numFmtId="0" fontId="3" fillId="0" borderId="0" xfId="0" applyFont="1" applyProtection="1">
      <protection hidden="1"/>
    </xf>
    <xf numFmtId="0" fontId="0" fillId="0" borderId="0" xfId="0" applyProtection="1">
      <protection hidden="1"/>
    </xf>
    <xf numFmtId="173" fontId="0" fillId="0" borderId="0" xfId="0" applyNumberFormat="1" applyProtection="1">
      <protection locked="0"/>
    </xf>
    <xf numFmtId="0" fontId="3" fillId="0" borderId="42" xfId="0" applyFont="1" applyBorder="1" applyAlignment="1" applyProtection="1">
      <protection hidden="1"/>
    </xf>
    <xf numFmtId="0" fontId="13" fillId="16" borderId="56" xfId="0" applyFont="1" applyFill="1" applyBorder="1" applyAlignment="1" applyProtection="1">
      <alignment vertical="center"/>
      <protection hidden="1"/>
    </xf>
    <xf numFmtId="0" fontId="13" fillId="16" borderId="60" xfId="0" applyFont="1" applyFill="1" applyBorder="1" applyAlignment="1" applyProtection="1">
      <alignment vertical="center"/>
      <protection hidden="1"/>
    </xf>
    <xf numFmtId="179" fontId="13" fillId="38" borderId="34" xfId="0" applyNumberFormat="1" applyFont="1" applyFill="1" applyBorder="1" applyProtection="1">
      <protection hidden="1"/>
    </xf>
    <xf numFmtId="179" fontId="13" fillId="38" borderId="2" xfId="0" applyNumberFormat="1" applyFont="1" applyFill="1" applyBorder="1" applyProtection="1">
      <protection hidden="1"/>
    </xf>
    <xf numFmtId="179" fontId="13" fillId="38" borderId="2" xfId="0" applyNumberFormat="1" applyFont="1" applyFill="1" applyBorder="1" applyAlignment="1" applyProtection="1">
      <alignment horizontal="center"/>
      <protection hidden="1"/>
    </xf>
    <xf numFmtId="175" fontId="13" fillId="38" borderId="2" xfId="0" applyNumberFormat="1" applyFont="1" applyFill="1" applyBorder="1" applyAlignment="1" applyProtection="1">
      <alignment horizontal="center"/>
      <protection hidden="1"/>
    </xf>
    <xf numFmtId="0" fontId="0" fillId="41" borderId="2" xfId="8" applyFont="1" applyFill="1" applyBorder="1" applyAlignment="1" applyProtection="1">
      <alignment vertical="center"/>
      <protection hidden="1"/>
    </xf>
    <xf numFmtId="0" fontId="0" fillId="41" borderId="14" xfId="8" applyFont="1" applyFill="1" applyBorder="1" applyAlignment="1" applyProtection="1">
      <alignment vertical="center"/>
      <protection hidden="1"/>
    </xf>
    <xf numFmtId="0" fontId="0" fillId="41" borderId="9" xfId="8" applyFont="1" applyFill="1" applyBorder="1" applyAlignment="1" applyProtection="1">
      <alignment vertical="center"/>
      <protection hidden="1"/>
    </xf>
    <xf numFmtId="0" fontId="0" fillId="41" borderId="15" xfId="8" applyFont="1" applyFill="1" applyBorder="1" applyAlignment="1" applyProtection="1">
      <alignment vertical="center"/>
      <protection hidden="1"/>
    </xf>
    <xf numFmtId="164" fontId="13" fillId="39" borderId="2" xfId="0" applyNumberFormat="1" applyFont="1" applyFill="1" applyBorder="1" applyAlignment="1" applyProtection="1">
      <alignment horizontal="right"/>
      <protection hidden="1"/>
    </xf>
    <xf numFmtId="0" fontId="3" fillId="40" borderId="2" xfId="0" applyFont="1" applyFill="1" applyBorder="1" applyProtection="1">
      <protection hidden="1"/>
    </xf>
    <xf numFmtId="2" fontId="13" fillId="39" borderId="2" xfId="0" applyNumberFormat="1" applyFont="1" applyFill="1" applyBorder="1" applyAlignment="1" applyProtection="1">
      <alignment horizontal="right"/>
      <protection hidden="1"/>
    </xf>
    <xf numFmtId="164" fontId="13" fillId="39" borderId="2" xfId="0" applyNumberFormat="1" applyFont="1" applyFill="1" applyBorder="1" applyProtection="1">
      <protection hidden="1"/>
    </xf>
    <xf numFmtId="173" fontId="13" fillId="39" borderId="2" xfId="0" applyNumberFormat="1" applyFont="1" applyFill="1" applyBorder="1" applyProtection="1">
      <protection hidden="1"/>
    </xf>
    <xf numFmtId="173" fontId="13" fillId="39" borderId="2" xfId="0" applyNumberFormat="1" applyFont="1" applyFill="1" applyBorder="1" applyAlignment="1" applyProtection="1">
      <protection hidden="1"/>
    </xf>
    <xf numFmtId="173" fontId="13" fillId="40" borderId="2" xfId="0" applyNumberFormat="1" applyFont="1" applyFill="1" applyBorder="1" applyAlignment="1" applyProtection="1">
      <protection hidden="1"/>
    </xf>
    <xf numFmtId="174" fontId="13" fillId="39" borderId="2" xfId="0" applyNumberFormat="1" applyFont="1" applyFill="1" applyBorder="1" applyAlignment="1" applyProtection="1">
      <alignment horizontal="right"/>
      <protection hidden="1"/>
    </xf>
    <xf numFmtId="173" fontId="13" fillId="39" borderId="2" xfId="0" applyNumberFormat="1" applyFont="1" applyFill="1" applyBorder="1" applyAlignment="1" applyProtection="1">
      <alignment horizontal="right"/>
      <protection hidden="1"/>
    </xf>
    <xf numFmtId="164" fontId="11" fillId="39" borderId="2" xfId="0" applyNumberFormat="1" applyFont="1" applyFill="1" applyBorder="1" applyAlignment="1" applyProtection="1">
      <alignment horizontal="right"/>
      <protection hidden="1"/>
    </xf>
    <xf numFmtId="164" fontId="11" fillId="39" borderId="2" xfId="0" applyNumberFormat="1" applyFont="1" applyFill="1" applyBorder="1" applyProtection="1">
      <protection hidden="1"/>
    </xf>
    <xf numFmtId="170" fontId="11" fillId="39" borderId="2" xfId="0" applyNumberFormat="1" applyFont="1" applyFill="1" applyBorder="1" applyAlignment="1" applyProtection="1">
      <protection hidden="1"/>
    </xf>
    <xf numFmtId="164" fontId="3" fillId="40" borderId="2" xfId="0" applyNumberFormat="1" applyFont="1" applyFill="1" applyBorder="1" applyAlignment="1" applyProtection="1">
      <alignment horizontal="right"/>
      <protection hidden="1"/>
    </xf>
    <xf numFmtId="0" fontId="3" fillId="40" borderId="2" xfId="0" applyFont="1" applyFill="1" applyBorder="1" applyProtection="1">
      <protection locked="0"/>
    </xf>
    <xf numFmtId="0" fontId="3" fillId="41" borderId="29" xfId="0" applyFont="1" applyFill="1" applyBorder="1" applyAlignment="1" applyProtection="1">
      <alignment wrapText="1"/>
      <protection hidden="1"/>
    </xf>
    <xf numFmtId="0" fontId="3" fillId="41" borderId="30" xfId="0" applyFont="1" applyFill="1" applyBorder="1" applyAlignment="1" applyProtection="1">
      <alignment wrapText="1"/>
      <protection hidden="1"/>
    </xf>
    <xf numFmtId="0" fontId="3" fillId="41" borderId="7" xfId="0" applyFont="1" applyFill="1" applyBorder="1" applyAlignment="1" applyProtection="1">
      <alignment wrapText="1"/>
      <protection hidden="1"/>
    </xf>
    <xf numFmtId="0" fontId="3" fillId="41" borderId="17" xfId="0" applyFont="1" applyFill="1" applyBorder="1" applyAlignment="1" applyProtection="1">
      <alignment wrapText="1"/>
      <protection hidden="1"/>
    </xf>
    <xf numFmtId="0" fontId="3" fillId="39" borderId="2" xfId="7" applyFont="1" applyFill="1" applyBorder="1" applyAlignment="1" applyProtection="1">
      <alignment vertical="top" wrapText="1"/>
      <protection locked="0"/>
    </xf>
    <xf numFmtId="2" fontId="3" fillId="40" borderId="2" xfId="0" applyNumberFormat="1" applyFont="1" applyFill="1" applyBorder="1" applyAlignment="1" applyProtection="1">
      <alignment horizontal="right"/>
      <protection hidden="1"/>
    </xf>
    <xf numFmtId="164" fontId="3" fillId="40" borderId="2" xfId="0" applyNumberFormat="1" applyFont="1" applyFill="1" applyBorder="1" applyProtection="1">
      <protection hidden="1"/>
    </xf>
    <xf numFmtId="170" fontId="3" fillId="40" borderId="2" xfId="0" applyNumberFormat="1" applyFont="1" applyFill="1" applyBorder="1" applyAlignment="1" applyProtection="1">
      <protection hidden="1"/>
    </xf>
    <xf numFmtId="164" fontId="3" fillId="40" borderId="2" xfId="1" applyNumberFormat="1" applyFont="1" applyFill="1" applyBorder="1" applyProtection="1">
      <protection hidden="1"/>
    </xf>
    <xf numFmtId="174" fontId="3" fillId="40" borderId="2" xfId="0" applyNumberFormat="1" applyFont="1" applyFill="1" applyBorder="1" applyAlignment="1" applyProtection="1">
      <alignment horizontal="right"/>
      <protection hidden="1"/>
    </xf>
    <xf numFmtId="4" fontId="3" fillId="40" borderId="2" xfId="0" applyNumberFormat="1" applyFont="1" applyFill="1" applyBorder="1" applyProtection="1">
      <protection hidden="1"/>
    </xf>
    <xf numFmtId="0" fontId="3" fillId="40" borderId="2" xfId="0" applyNumberFormat="1" applyFont="1" applyFill="1" applyBorder="1" applyAlignment="1" applyProtection="1">
      <alignment horizontal="right"/>
      <protection hidden="1"/>
    </xf>
    <xf numFmtId="0" fontId="2" fillId="40" borderId="2" xfId="0" applyFont="1" applyFill="1" applyBorder="1" applyProtection="1">
      <protection locked="0"/>
    </xf>
    <xf numFmtId="170" fontId="2" fillId="40" borderId="2" xfId="0" applyNumberFormat="1" applyFont="1" applyFill="1" applyBorder="1" applyAlignment="1" applyProtection="1">
      <protection hidden="1"/>
    </xf>
    <xf numFmtId="0" fontId="2" fillId="40" borderId="2" xfId="0" applyFont="1" applyFill="1" applyBorder="1" applyAlignment="1" applyProtection="1">
      <alignment horizontal="left" wrapText="1"/>
      <protection locked="0"/>
    </xf>
    <xf numFmtId="0" fontId="2" fillId="39" borderId="2" xfId="7" applyFont="1" applyFill="1" applyBorder="1" applyAlignment="1" applyProtection="1">
      <protection locked="0"/>
    </xf>
    <xf numFmtId="0" fontId="2" fillId="40" borderId="2" xfId="0" applyFont="1" applyFill="1" applyBorder="1" applyAlignment="1" applyProtection="1">
      <alignment horizontal="left"/>
      <protection locked="0"/>
    </xf>
    <xf numFmtId="1" fontId="3" fillId="40" borderId="2" xfId="1" applyNumberFormat="1" applyFont="1" applyFill="1" applyBorder="1" applyProtection="1">
      <protection hidden="1"/>
    </xf>
    <xf numFmtId="0" fontId="3" fillId="40" borderId="2" xfId="0" applyFont="1" applyFill="1" applyBorder="1" applyAlignment="1" applyProtection="1">
      <alignment wrapText="1"/>
      <protection locked="0"/>
    </xf>
    <xf numFmtId="164" fontId="2" fillId="40" borderId="2" xfId="0" applyNumberFormat="1" applyFont="1" applyFill="1" applyBorder="1" applyAlignment="1" applyProtection="1">
      <alignment horizontal="right"/>
      <protection hidden="1"/>
    </xf>
    <xf numFmtId="0" fontId="3" fillId="39" borderId="2" xfId="0" applyNumberFormat="1" applyFont="1" applyFill="1" applyBorder="1" applyAlignment="1" applyProtection="1">
      <alignment horizontal="left" vertical="top" wrapText="1"/>
      <protection locked="0"/>
    </xf>
    <xf numFmtId="0" fontId="27" fillId="39" borderId="2" xfId="0" applyNumberFormat="1" applyFont="1" applyFill="1" applyBorder="1" applyAlignment="1" applyProtection="1">
      <alignment horizontal="left" vertical="top" wrapText="1"/>
      <protection locked="0"/>
    </xf>
    <xf numFmtId="0" fontId="3" fillId="40" borderId="2" xfId="1" applyNumberFormat="1" applyFont="1" applyFill="1" applyBorder="1" applyAlignment="1" applyProtection="1">
      <alignment horizontal="left" vertical="center" wrapText="1"/>
      <protection locked="0"/>
    </xf>
    <xf numFmtId="0" fontId="3" fillId="40" borderId="2" xfId="1" applyNumberFormat="1" applyFont="1" applyFill="1" applyBorder="1" applyAlignment="1" applyProtection="1">
      <alignment horizontal="center" vertical="center" wrapText="1"/>
      <protection locked="0" hidden="1"/>
    </xf>
    <xf numFmtId="164" fontId="3" fillId="40" borderId="2" xfId="1" applyNumberFormat="1" applyFont="1" applyFill="1" applyBorder="1" applyAlignment="1" applyProtection="1">
      <alignment horizontal="center" vertical="center"/>
      <protection hidden="1"/>
    </xf>
    <xf numFmtId="0" fontId="2" fillId="40" borderId="2" xfId="1" applyNumberFormat="1" applyFont="1" applyFill="1" applyBorder="1" applyAlignment="1" applyProtection="1">
      <alignment horizontal="center" vertical="center"/>
      <protection hidden="1"/>
    </xf>
    <xf numFmtId="164" fontId="3" fillId="40" borderId="2" xfId="1" applyNumberFormat="1" applyFont="1" applyFill="1" applyBorder="1" applyAlignment="1" applyProtection="1">
      <alignment horizontal="center"/>
      <protection hidden="1"/>
    </xf>
    <xf numFmtId="10" fontId="3" fillId="40" borderId="2" xfId="1" applyNumberFormat="1" applyFont="1" applyFill="1" applyBorder="1" applyAlignment="1" applyProtection="1">
      <alignment horizontal="center"/>
      <protection hidden="1"/>
    </xf>
    <xf numFmtId="10" fontId="2" fillId="40" borderId="2" xfId="1" applyNumberFormat="1" applyFont="1" applyFill="1" applyBorder="1" applyProtection="1">
      <protection hidden="1"/>
    </xf>
    <xf numFmtId="49" fontId="3" fillId="40" borderId="2" xfId="1" applyNumberFormat="1" applyFont="1" applyFill="1" applyBorder="1" applyAlignment="1" applyProtection="1">
      <alignment horizontal="left" vertical="center" wrapText="1"/>
      <protection locked="0"/>
    </xf>
    <xf numFmtId="2" fontId="3" fillId="40" borderId="2" xfId="1" applyNumberFormat="1" applyFont="1" applyFill="1" applyBorder="1" applyAlignment="1" applyProtection="1">
      <alignment horizontal="center" vertical="center" wrapText="1"/>
      <protection locked="0" hidden="1"/>
    </xf>
    <xf numFmtId="1" fontId="3" fillId="40" borderId="2" xfId="1" applyNumberFormat="1" applyFont="1" applyFill="1" applyBorder="1" applyAlignment="1" applyProtection="1">
      <alignment horizontal="center" vertical="center" wrapText="1"/>
      <protection locked="0" hidden="1"/>
    </xf>
    <xf numFmtId="179" fontId="3" fillId="40" borderId="2" xfId="1" applyNumberFormat="1" applyFont="1" applyFill="1" applyBorder="1" applyAlignment="1" applyProtection="1">
      <alignment horizontal="center"/>
      <protection hidden="1"/>
    </xf>
    <xf numFmtId="171" fontId="0" fillId="40" borderId="2" xfId="1" applyNumberFormat="1" applyFont="1" applyFill="1" applyBorder="1" applyAlignment="1" applyProtection="1">
      <alignment horizontal="center" vertical="center"/>
      <protection hidden="1"/>
    </xf>
    <xf numFmtId="164" fontId="3" fillId="40" borderId="2" xfId="1" applyNumberFormat="1" applyFont="1" applyFill="1" applyBorder="1" applyAlignment="1" applyProtection="1">
      <alignment horizontal="right"/>
      <protection hidden="1"/>
    </xf>
    <xf numFmtId="164" fontId="2" fillId="40" borderId="2" xfId="1" applyNumberFormat="1" applyFont="1" applyFill="1" applyBorder="1" applyAlignment="1" applyProtection="1">
      <alignment horizontal="right"/>
      <protection hidden="1"/>
    </xf>
    <xf numFmtId="0" fontId="3" fillId="38" borderId="0" xfId="0" applyFont="1" applyFill="1" applyProtection="1">
      <protection locked="0"/>
    </xf>
    <xf numFmtId="0" fontId="3" fillId="38" borderId="0" xfId="0" applyFont="1" applyFill="1" applyProtection="1">
      <protection hidden="1"/>
    </xf>
    <xf numFmtId="0" fontId="4" fillId="38" borderId="0" xfId="0" applyFont="1" applyFill="1" applyAlignment="1" applyProtection="1">
      <alignment horizontal="center"/>
      <protection locked="0"/>
    </xf>
    <xf numFmtId="0" fontId="3" fillId="40" borderId="8" xfId="1" applyFont="1" applyFill="1" applyBorder="1" applyProtection="1">
      <protection hidden="1"/>
    </xf>
    <xf numFmtId="0" fontId="3" fillId="40" borderId="8" xfId="1" applyFont="1" applyFill="1" applyBorder="1" applyAlignment="1" applyProtection="1">
      <alignment wrapText="1"/>
      <protection hidden="1"/>
    </xf>
    <xf numFmtId="0" fontId="3" fillId="40" borderId="38" xfId="1" applyFont="1" applyFill="1" applyBorder="1" applyAlignment="1" applyProtection="1">
      <alignment wrapText="1"/>
      <protection hidden="1"/>
    </xf>
    <xf numFmtId="0" fontId="3" fillId="40" borderId="1" xfId="1" applyFont="1" applyFill="1" applyBorder="1" applyProtection="1">
      <protection hidden="1"/>
    </xf>
    <xf numFmtId="0" fontId="2" fillId="40" borderId="1" xfId="1" applyFont="1" applyFill="1" applyBorder="1" applyProtection="1">
      <protection hidden="1"/>
    </xf>
    <xf numFmtId="0" fontId="3" fillId="40" borderId="28" xfId="1" applyFont="1" applyFill="1" applyBorder="1" applyProtection="1">
      <protection hidden="1"/>
    </xf>
    <xf numFmtId="0" fontId="2" fillId="40" borderId="8" xfId="1" applyFont="1" applyFill="1" applyBorder="1" applyProtection="1">
      <protection hidden="1"/>
    </xf>
    <xf numFmtId="0" fontId="26" fillId="40" borderId="1" xfId="1" applyFont="1" applyFill="1" applyBorder="1" applyProtection="1">
      <protection hidden="1"/>
    </xf>
    <xf numFmtId="166" fontId="3" fillId="40" borderId="1" xfId="1" applyNumberFormat="1" applyFont="1" applyFill="1" applyBorder="1" applyProtection="1">
      <protection hidden="1"/>
    </xf>
    <xf numFmtId="166" fontId="3" fillId="40" borderId="27" xfId="1" applyNumberFormat="1" applyFont="1" applyFill="1" applyBorder="1" applyProtection="1">
      <protection hidden="1"/>
    </xf>
    <xf numFmtId="166" fontId="2" fillId="40" borderId="1" xfId="1" applyNumberFormat="1" applyFont="1" applyFill="1" applyBorder="1" applyProtection="1">
      <protection hidden="1"/>
    </xf>
    <xf numFmtId="166" fontId="2" fillId="40" borderId="27" xfId="1" applyNumberFormat="1" applyFont="1" applyFill="1" applyBorder="1" applyProtection="1">
      <protection hidden="1"/>
    </xf>
    <xf numFmtId="177" fontId="2" fillId="40" borderId="28" xfId="1" applyNumberFormat="1" applyFont="1" applyFill="1" applyBorder="1" applyProtection="1">
      <protection hidden="1"/>
    </xf>
    <xf numFmtId="177" fontId="3" fillId="40" borderId="28" xfId="1" applyNumberFormat="1" applyFont="1" applyFill="1" applyBorder="1" applyProtection="1">
      <protection hidden="1"/>
    </xf>
    <xf numFmtId="177" fontId="3" fillId="40" borderId="44" xfId="1" applyNumberFormat="1" applyFont="1" applyFill="1" applyBorder="1" applyProtection="1">
      <protection hidden="1"/>
    </xf>
    <xf numFmtId="166" fontId="2" fillId="40" borderId="8" xfId="1" applyNumberFormat="1" applyFont="1" applyFill="1" applyBorder="1" applyProtection="1">
      <protection hidden="1"/>
    </xf>
    <xf numFmtId="166" fontId="3" fillId="40" borderId="8" xfId="1" applyNumberFormat="1" applyFont="1" applyFill="1" applyBorder="1" applyProtection="1">
      <protection hidden="1"/>
    </xf>
    <xf numFmtId="166" fontId="3" fillId="40" borderId="16" xfId="1" applyNumberFormat="1" applyFont="1" applyFill="1" applyBorder="1" applyProtection="1">
      <protection hidden="1"/>
    </xf>
    <xf numFmtId="178" fontId="2" fillId="40" borderId="1" xfId="1" applyNumberFormat="1" applyFont="1" applyFill="1" applyBorder="1" applyAlignment="1" applyProtection="1">
      <alignment horizontal="right"/>
      <protection hidden="1"/>
    </xf>
    <xf numFmtId="178" fontId="3" fillId="40" borderId="1" xfId="1" applyNumberFormat="1" applyFont="1" applyFill="1" applyBorder="1" applyAlignment="1" applyProtection="1">
      <alignment horizontal="right"/>
      <protection hidden="1"/>
    </xf>
    <xf numFmtId="178" fontId="3" fillId="40" borderId="7" xfId="1" applyNumberFormat="1" applyFont="1" applyFill="1" applyBorder="1" applyAlignment="1" applyProtection="1">
      <alignment horizontal="right"/>
      <protection hidden="1"/>
    </xf>
    <xf numFmtId="0" fontId="0" fillId="38" borderId="0" xfId="0" applyFill="1" applyProtection="1">
      <protection hidden="1"/>
    </xf>
    <xf numFmtId="0" fontId="2" fillId="40" borderId="14" xfId="0" applyFont="1" applyFill="1" applyBorder="1" applyAlignment="1" applyProtection="1">
      <protection locked="0"/>
    </xf>
    <xf numFmtId="0" fontId="3" fillId="0" borderId="0" xfId="0" applyFont="1" applyProtection="1">
      <protection hidden="1"/>
    </xf>
    <xf numFmtId="0" fontId="0" fillId="0" borderId="0" xfId="0" applyProtection="1">
      <protection hidden="1"/>
    </xf>
    <xf numFmtId="164" fontId="3" fillId="39" borderId="2" xfId="0" applyNumberFormat="1" applyFont="1" applyFill="1" applyBorder="1" applyAlignment="1" applyProtection="1"/>
    <xf numFmtId="0" fontId="2" fillId="39" borderId="2" xfId="0" applyFont="1" applyFill="1" applyBorder="1" applyAlignment="1" applyProtection="1"/>
    <xf numFmtId="164" fontId="2" fillId="39" borderId="2" xfId="0" applyNumberFormat="1" applyFont="1" applyFill="1" applyBorder="1" applyAlignment="1" applyProtection="1"/>
    <xf numFmtId="164" fontId="2" fillId="39" borderId="60" xfId="0" applyNumberFormat="1" applyFont="1" applyFill="1" applyBorder="1" applyAlignment="1" applyProtection="1"/>
    <xf numFmtId="164" fontId="3" fillId="39" borderId="14" xfId="0" applyNumberFormat="1" applyFont="1" applyFill="1" applyBorder="1" applyAlignment="1" applyProtection="1"/>
    <xf numFmtId="164" fontId="2" fillId="39" borderId="69" xfId="0" applyNumberFormat="1" applyFont="1" applyFill="1" applyBorder="1" applyAlignment="1" applyProtection="1"/>
    <xf numFmtId="49" fontId="2" fillId="39" borderId="2" xfId="7" applyNumberFormat="1" applyFont="1" applyFill="1" applyBorder="1" applyAlignment="1" applyProtection="1">
      <alignment vertical="center"/>
      <protection hidden="1"/>
    </xf>
    <xf numFmtId="0" fontId="0" fillId="0" borderId="2" xfId="0" applyBorder="1" applyProtection="1">
      <protection hidden="1"/>
    </xf>
    <xf numFmtId="0" fontId="3" fillId="38" borderId="2" xfId="0" applyFont="1" applyFill="1" applyBorder="1" applyAlignment="1" applyProtection="1">
      <alignment horizontal="left" vertical="center"/>
      <protection locked="0" hidden="1"/>
    </xf>
    <xf numFmtId="0" fontId="0" fillId="0" borderId="0" xfId="0" applyAlignment="1">
      <alignment horizontal="left"/>
    </xf>
    <xf numFmtId="0" fontId="0" fillId="44" borderId="55" xfId="0" applyFill="1" applyBorder="1" applyAlignment="1">
      <alignment horizontal="left"/>
    </xf>
    <xf numFmtId="0" fontId="0" fillId="44" borderId="57" xfId="0" applyFill="1" applyBorder="1" applyAlignment="1">
      <alignment horizontal="left" wrapText="1"/>
    </xf>
    <xf numFmtId="164" fontId="0" fillId="36" borderId="58" xfId="0" applyNumberFormat="1" applyFill="1" applyBorder="1" applyAlignment="1">
      <alignment horizontal="left"/>
    </xf>
    <xf numFmtId="164" fontId="0" fillId="36" borderId="61" xfId="0" applyNumberFormat="1" applyFill="1" applyBorder="1" applyAlignment="1">
      <alignment horizontal="left"/>
    </xf>
    <xf numFmtId="164" fontId="3" fillId="45" borderId="34" xfId="0" applyNumberFormat="1" applyFont="1" applyFill="1" applyBorder="1" applyAlignment="1" applyProtection="1">
      <alignment horizontal="left"/>
      <protection hidden="1"/>
    </xf>
    <xf numFmtId="164" fontId="3" fillId="45" borderId="59" xfId="0" applyNumberFormat="1" applyFont="1" applyFill="1" applyBorder="1" applyAlignment="1" applyProtection="1">
      <alignment horizontal="left"/>
      <protection hidden="1"/>
    </xf>
    <xf numFmtId="49" fontId="13" fillId="0" borderId="0" xfId="0" applyNumberFormat="1" applyFont="1" applyBorder="1" applyAlignment="1">
      <alignment horizontal="left"/>
    </xf>
    <xf numFmtId="49" fontId="13" fillId="0" borderId="0" xfId="0" applyNumberFormat="1" applyFont="1" applyBorder="1" applyAlignment="1">
      <alignment horizontal="left" vertical="top" wrapText="1"/>
    </xf>
    <xf numFmtId="49" fontId="13" fillId="0" borderId="0" xfId="0" applyNumberFormat="1" applyFont="1" applyBorder="1" applyAlignment="1">
      <alignment horizontal="left" wrapText="1"/>
    </xf>
    <xf numFmtId="0" fontId="11" fillId="0" borderId="0" xfId="0" applyFont="1" applyAlignment="1">
      <alignment vertical="center" wrapText="1"/>
    </xf>
    <xf numFmtId="49" fontId="13" fillId="0" borderId="0" xfId="13" applyNumberFormat="1" applyFont="1" applyBorder="1" applyAlignment="1">
      <alignment vertical="center"/>
    </xf>
    <xf numFmtId="173" fontId="3" fillId="23" borderId="2" xfId="0" applyNumberFormat="1" applyFont="1" applyFill="1" applyBorder="1" applyAlignment="1" applyProtection="1">
      <alignment horizontal="center" vertical="center"/>
      <protection locked="0" hidden="1"/>
    </xf>
    <xf numFmtId="164" fontId="2" fillId="32" borderId="2" xfId="0" applyNumberFormat="1" applyFont="1" applyFill="1" applyBorder="1" applyAlignment="1" applyProtection="1"/>
    <xf numFmtId="164" fontId="2" fillId="32" borderId="61" xfId="0" applyNumberFormat="1" applyFont="1" applyFill="1" applyBorder="1" applyAlignment="1" applyProtection="1"/>
    <xf numFmtId="164" fontId="2" fillId="39" borderId="58" xfId="0" applyNumberFormat="1" applyFont="1" applyFill="1" applyBorder="1" applyAlignment="1" applyProtection="1"/>
    <xf numFmtId="0" fontId="3" fillId="0" borderId="34" xfId="0" applyFont="1" applyFill="1" applyBorder="1" applyAlignment="1" applyProtection="1">
      <alignment horizontal="left" vertical="center"/>
      <protection locked="0"/>
    </xf>
    <xf numFmtId="0" fontId="3" fillId="0" borderId="2" xfId="0" applyFont="1" applyFill="1" applyBorder="1" applyAlignment="1" applyProtection="1">
      <alignment horizontal="center" vertical="center"/>
      <protection locked="0"/>
    </xf>
    <xf numFmtId="173" fontId="3" fillId="0" borderId="2" xfId="0" applyNumberFormat="1" applyFont="1" applyFill="1" applyBorder="1" applyAlignment="1" applyProtection="1">
      <alignment horizontal="center" vertical="center"/>
      <protection locked="0"/>
    </xf>
    <xf numFmtId="0" fontId="15" fillId="0" borderId="0" xfId="13" applyAlignment="1"/>
    <xf numFmtId="49" fontId="13" fillId="0" borderId="0" xfId="1" applyNumberFormat="1" applyFont="1" applyFill="1" applyBorder="1" applyAlignment="1">
      <alignment horizontal="left" vertical="top" wrapText="1"/>
    </xf>
    <xf numFmtId="49" fontId="22" fillId="0" borderId="0" xfId="0" applyNumberFormat="1" applyFont="1" applyBorder="1" applyAlignment="1">
      <alignment horizontal="left" vertical="top" wrapText="1"/>
    </xf>
    <xf numFmtId="49" fontId="11" fillId="0" borderId="0" xfId="0" applyNumberFormat="1" applyFont="1" applyBorder="1" applyAlignment="1">
      <alignment horizontal="left" vertical="top" wrapText="1"/>
    </xf>
    <xf numFmtId="0" fontId="13" fillId="39" borderId="39" xfId="0" applyFont="1" applyFill="1" applyBorder="1" applyAlignment="1" applyProtection="1">
      <alignment vertical="top" wrapText="1"/>
      <protection hidden="1"/>
    </xf>
    <xf numFmtId="0" fontId="0" fillId="0" borderId="0" xfId="0" applyProtection="1">
      <protection hidden="1"/>
    </xf>
    <xf numFmtId="0" fontId="13" fillId="39" borderId="37" xfId="0" applyFont="1" applyFill="1" applyBorder="1" applyAlignment="1" applyProtection="1">
      <alignment vertical="top" wrapText="1"/>
      <protection hidden="1"/>
    </xf>
    <xf numFmtId="49" fontId="11" fillId="0" borderId="5" xfId="0" applyNumberFormat="1" applyFont="1" applyBorder="1" applyAlignment="1">
      <alignment horizontal="left"/>
    </xf>
    <xf numFmtId="49" fontId="13" fillId="0" borderId="0" xfId="13" applyNumberFormat="1" applyFont="1" applyBorder="1" applyAlignment="1">
      <alignment horizontal="left" vertical="top"/>
    </xf>
    <xf numFmtId="0" fontId="6" fillId="0" borderId="0" xfId="0" applyFont="1"/>
    <xf numFmtId="0" fontId="11" fillId="0" borderId="0" xfId="0" applyFont="1" applyAlignment="1" applyProtection="1">
      <protection hidden="1"/>
    </xf>
    <xf numFmtId="49" fontId="13" fillId="0" borderId="3" xfId="1" applyNumberFormat="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49" fontId="11" fillId="0" borderId="5" xfId="1" applyNumberFormat="1" applyFont="1" applyFill="1" applyBorder="1" applyAlignment="1">
      <alignment horizontal="left" vertical="top" wrapText="1"/>
    </xf>
    <xf numFmtId="0" fontId="11" fillId="0" borderId="0" xfId="0" applyFont="1" applyAlignment="1">
      <alignment horizontal="left" vertical="center"/>
    </xf>
    <xf numFmtId="0" fontId="13" fillId="0" borderId="0" xfId="0" applyFont="1" applyAlignment="1">
      <alignment horizontal="left"/>
    </xf>
    <xf numFmtId="0" fontId="0" fillId="0" borderId="0" xfId="0" applyAlignment="1">
      <alignment vertical="top" wrapText="1"/>
    </xf>
    <xf numFmtId="0" fontId="0" fillId="0" borderId="0" xfId="0" applyAlignment="1">
      <alignment wrapText="1"/>
    </xf>
    <xf numFmtId="49" fontId="33" fillId="0" borderId="0" xfId="13" applyNumberFormat="1" applyFont="1" applyBorder="1" applyAlignment="1">
      <alignment vertical="center"/>
    </xf>
    <xf numFmtId="173" fontId="13" fillId="16" borderId="60" xfId="1" applyNumberFormat="1" applyFont="1" applyFill="1" applyBorder="1" applyAlignment="1" applyProtection="1">
      <alignment horizontal="left"/>
      <protection hidden="1"/>
    </xf>
    <xf numFmtId="0" fontId="3" fillId="40" borderId="2" xfId="0" applyFont="1" applyFill="1" applyBorder="1" applyProtection="1">
      <protection locked="0"/>
    </xf>
    <xf numFmtId="0" fontId="0" fillId="0" borderId="0" xfId="0" applyProtection="1">
      <protection hidden="1"/>
    </xf>
    <xf numFmtId="173" fontId="13" fillId="0" borderId="2" xfId="0" applyNumberFormat="1" applyFont="1" applyFill="1" applyBorder="1" applyProtection="1">
      <protection locked="0"/>
    </xf>
    <xf numFmtId="173" fontId="13" fillId="38" borderId="1" xfId="0" applyNumberFormat="1" applyFont="1" applyFill="1" applyBorder="1" applyAlignment="1" applyProtection="1">
      <alignment horizontal="right"/>
      <protection hidden="1"/>
    </xf>
    <xf numFmtId="181" fontId="13" fillId="38" borderId="7" xfId="0" quotePrefix="1" applyNumberFormat="1" applyFont="1" applyFill="1" applyBorder="1" applyProtection="1">
      <protection hidden="1"/>
    </xf>
    <xf numFmtId="164" fontId="13" fillId="0" borderId="58" xfId="1" applyNumberFormat="1" applyFont="1" applyFill="1" applyBorder="1" applyAlignment="1" applyProtection="1">
      <protection hidden="1"/>
    </xf>
    <xf numFmtId="164" fontId="11" fillId="38" borderId="61" xfId="1" applyNumberFormat="1" applyFont="1" applyFill="1" applyBorder="1" applyAlignment="1" applyProtection="1">
      <alignment horizontal="center" vertical="center"/>
    </xf>
    <xf numFmtId="173" fontId="13" fillId="38" borderId="1" xfId="0" quotePrefix="1" applyNumberFormat="1" applyFont="1" applyFill="1" applyBorder="1" applyProtection="1">
      <protection hidden="1"/>
    </xf>
    <xf numFmtId="2" fontId="13" fillId="38" borderId="1" xfId="0" quotePrefix="1" applyNumberFormat="1" applyFont="1" applyFill="1" applyBorder="1" applyProtection="1">
      <protection hidden="1"/>
    </xf>
    <xf numFmtId="0" fontId="3" fillId="38" borderId="2" xfId="0" applyFont="1" applyFill="1" applyBorder="1" applyProtection="1">
      <protection hidden="1"/>
    </xf>
    <xf numFmtId="0" fontId="37" fillId="42" borderId="1" xfId="0" applyFont="1" applyFill="1" applyBorder="1" applyAlignment="1" applyProtection="1">
      <alignment horizontal="left"/>
    </xf>
    <xf numFmtId="173" fontId="37" fillId="46" borderId="1" xfId="0" applyNumberFormat="1" applyFont="1" applyFill="1" applyBorder="1" applyAlignment="1" applyProtection="1">
      <alignment horizontal="center"/>
    </xf>
    <xf numFmtId="173" fontId="0" fillId="15" borderId="0" xfId="0" applyNumberFormat="1" applyFill="1" applyProtection="1"/>
    <xf numFmtId="0" fontId="3" fillId="39" borderId="2" xfId="0" applyFont="1" applyFill="1" applyBorder="1" applyAlignment="1" applyProtection="1">
      <alignment vertical="top" wrapText="1"/>
      <protection hidden="1"/>
    </xf>
    <xf numFmtId="0" fontId="13" fillId="39" borderId="2" xfId="0" applyFont="1" applyFill="1" applyBorder="1" applyProtection="1">
      <protection hidden="1"/>
    </xf>
    <xf numFmtId="0" fontId="3" fillId="0" borderId="0" xfId="0" applyFont="1" applyProtection="1">
      <protection hidden="1"/>
    </xf>
    <xf numFmtId="0" fontId="0" fillId="0" borderId="0" xfId="0" applyProtection="1">
      <protection hidden="1"/>
    </xf>
    <xf numFmtId="49" fontId="13" fillId="0" borderId="12" xfId="0" applyNumberFormat="1" applyFont="1" applyBorder="1" applyAlignment="1">
      <alignment horizontal="left" vertical="top" wrapText="1"/>
    </xf>
    <xf numFmtId="49" fontId="13" fillId="0" borderId="4" xfId="0" applyNumberFormat="1" applyFont="1" applyBorder="1" applyAlignment="1">
      <alignment horizontal="left" vertical="top" wrapText="1"/>
    </xf>
    <xf numFmtId="49" fontId="13" fillId="0" borderId="13" xfId="0" applyNumberFormat="1" applyFont="1" applyBorder="1" applyAlignment="1">
      <alignment horizontal="left" vertical="top" wrapText="1"/>
    </xf>
    <xf numFmtId="49" fontId="11" fillId="0" borderId="5" xfId="0" applyNumberFormat="1" applyFont="1" applyBorder="1" applyAlignment="1">
      <alignment horizontal="left"/>
    </xf>
    <xf numFmtId="49" fontId="11" fillId="0" borderId="3" xfId="0" applyNumberFormat="1" applyFont="1" applyBorder="1" applyAlignment="1">
      <alignment horizontal="left"/>
    </xf>
    <xf numFmtId="49" fontId="11" fillId="0" borderId="6" xfId="0" applyNumberFormat="1" applyFont="1" applyBorder="1" applyAlignment="1">
      <alignment horizontal="left"/>
    </xf>
    <xf numFmtId="49" fontId="13" fillId="0" borderId="12" xfId="0" applyNumberFormat="1" applyFont="1" applyBorder="1" applyAlignment="1">
      <alignment horizontal="left" vertical="center" wrapText="1"/>
    </xf>
    <xf numFmtId="49" fontId="13" fillId="0" borderId="4"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12" xfId="0" applyNumberFormat="1" applyFont="1" applyBorder="1" applyAlignment="1">
      <alignment horizontal="left" wrapText="1"/>
    </xf>
    <xf numFmtId="49" fontId="13" fillId="0" borderId="4" xfId="0" applyNumberFormat="1" applyFont="1" applyBorder="1" applyAlignment="1">
      <alignment horizontal="left"/>
    </xf>
    <xf numFmtId="49" fontId="13" fillId="0" borderId="13" xfId="0" applyNumberFormat="1" applyFont="1" applyBorder="1" applyAlignment="1">
      <alignment horizontal="left"/>
    </xf>
    <xf numFmtId="49" fontId="11" fillId="0" borderId="5" xfId="0" applyNumberFormat="1" applyFont="1" applyBorder="1" applyAlignment="1">
      <alignment horizontal="left" vertical="top" wrapText="1"/>
    </xf>
    <xf numFmtId="49" fontId="11" fillId="0" borderId="3" xfId="0" applyNumberFormat="1" applyFont="1" applyBorder="1" applyAlignment="1">
      <alignment horizontal="left" vertical="top" wrapText="1"/>
    </xf>
    <xf numFmtId="49" fontId="11" fillId="0" borderId="6" xfId="0" applyNumberFormat="1" applyFont="1" applyBorder="1" applyAlignment="1">
      <alignment horizontal="left" vertical="top" wrapText="1"/>
    </xf>
    <xf numFmtId="49" fontId="11" fillId="0" borderId="5" xfId="0" applyNumberFormat="1" applyFont="1" applyBorder="1" applyAlignment="1">
      <alignment horizontal="left" vertical="center"/>
    </xf>
    <xf numFmtId="49" fontId="11" fillId="0" borderId="3" xfId="0" applyNumberFormat="1" applyFont="1" applyBorder="1" applyAlignment="1">
      <alignment horizontal="left" vertical="center"/>
    </xf>
    <xf numFmtId="49" fontId="11" fillId="0" borderId="6" xfId="0" applyNumberFormat="1" applyFont="1" applyBorder="1" applyAlignment="1">
      <alignment horizontal="left" vertical="center"/>
    </xf>
    <xf numFmtId="49" fontId="11" fillId="0" borderId="5" xfId="13" applyNumberFormat="1" applyFont="1" applyBorder="1" applyAlignment="1">
      <alignment horizontal="left" vertical="center"/>
    </xf>
    <xf numFmtId="49" fontId="13" fillId="0" borderId="3" xfId="13" applyNumberFormat="1" applyFont="1" applyBorder="1" applyAlignment="1">
      <alignment horizontal="left" vertical="center"/>
    </xf>
    <xf numFmtId="49" fontId="13" fillId="0" borderId="6" xfId="13" applyNumberFormat="1" applyFont="1" applyBorder="1" applyAlignment="1">
      <alignment horizontal="left" vertical="center"/>
    </xf>
    <xf numFmtId="49" fontId="13" fillId="0" borderId="12" xfId="13" applyNumberFormat="1" applyFont="1" applyBorder="1" applyAlignment="1">
      <alignment horizontal="left" vertical="top"/>
    </xf>
    <xf numFmtId="49" fontId="13" fillId="0" borderId="4" xfId="13" applyNumberFormat="1" applyFont="1" applyBorder="1" applyAlignment="1">
      <alignment horizontal="left" vertical="top"/>
    </xf>
    <xf numFmtId="49" fontId="13" fillId="0" borderId="13" xfId="13" applyNumberFormat="1" applyFont="1" applyBorder="1" applyAlignment="1">
      <alignment horizontal="left" vertical="top"/>
    </xf>
    <xf numFmtId="49" fontId="13" fillId="0" borderId="12" xfId="13" applyNumberFormat="1" applyFont="1" applyBorder="1" applyAlignment="1">
      <alignment vertical="center" wrapText="1"/>
    </xf>
    <xf numFmtId="49" fontId="13" fillId="0" borderId="4" xfId="13" applyNumberFormat="1" applyFont="1" applyBorder="1" applyAlignment="1">
      <alignment vertical="center" wrapText="1"/>
    </xf>
    <xf numFmtId="49" fontId="13" fillId="0" borderId="13" xfId="13" applyNumberFormat="1" applyFont="1" applyBorder="1" applyAlignment="1">
      <alignment vertical="center" wrapText="1"/>
    </xf>
    <xf numFmtId="49" fontId="13" fillId="0" borderId="12" xfId="1" applyNumberFormat="1" applyFont="1" applyFill="1" applyBorder="1" applyAlignment="1">
      <alignment horizontal="left" vertical="top" wrapText="1"/>
    </xf>
    <xf numFmtId="49" fontId="13" fillId="0" borderId="4"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49" fontId="13" fillId="0" borderId="0" xfId="0" applyNumberFormat="1" applyFont="1" applyFill="1" applyBorder="1" applyAlignment="1">
      <alignment horizontal="left" vertical="center"/>
    </xf>
    <xf numFmtId="49" fontId="13" fillId="0" borderId="12" xfId="0" applyNumberFormat="1" applyFont="1" applyFill="1" applyBorder="1" applyAlignment="1">
      <alignment horizontal="left" vertical="top" wrapText="1"/>
    </xf>
    <xf numFmtId="49" fontId="13" fillId="0" borderId="4" xfId="0" applyNumberFormat="1"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49" fontId="13" fillId="0" borderId="12" xfId="0" applyNumberFormat="1" applyFont="1" applyBorder="1" applyAlignment="1">
      <alignment horizontal="left"/>
    </xf>
    <xf numFmtId="49" fontId="13" fillId="0" borderId="37" xfId="0" applyNumberFormat="1" applyFont="1" applyBorder="1" applyAlignment="1">
      <alignment horizontal="left" vertical="top" wrapText="1"/>
    </xf>
    <xf numFmtId="49" fontId="11" fillId="0" borderId="14" xfId="0" applyNumberFormat="1" applyFont="1" applyBorder="1" applyAlignment="1">
      <alignment horizontal="left" vertical="top" wrapText="1"/>
    </xf>
    <xf numFmtId="49" fontId="11" fillId="0" borderId="9" xfId="0" applyNumberFormat="1" applyFont="1" applyBorder="1" applyAlignment="1">
      <alignment horizontal="left" vertical="top" wrapText="1"/>
    </xf>
    <xf numFmtId="49" fontId="11" fillId="0" borderId="15" xfId="0" applyNumberFormat="1" applyFont="1" applyBorder="1" applyAlignment="1">
      <alignment horizontal="left" vertical="top" wrapText="1"/>
    </xf>
    <xf numFmtId="0" fontId="11" fillId="0" borderId="0" xfId="0" applyFont="1" applyAlignment="1">
      <alignment horizontal="left" vertical="center" wrapText="1"/>
    </xf>
    <xf numFmtId="0" fontId="11" fillId="0" borderId="0" xfId="0" applyFont="1" applyAlignment="1">
      <alignment vertical="center" wrapText="1"/>
    </xf>
    <xf numFmtId="0" fontId="11" fillId="0" borderId="5" xfId="0" applyFont="1" applyBorder="1" applyAlignment="1">
      <alignment horizontal="left"/>
    </xf>
    <xf numFmtId="0" fontId="11" fillId="0" borderId="3" xfId="0" applyFont="1" applyBorder="1" applyAlignment="1">
      <alignment horizontal="left"/>
    </xf>
    <xf numFmtId="0" fontId="11" fillId="0" borderId="6" xfId="0" applyFont="1" applyBorder="1" applyAlignment="1">
      <alignment horizontal="left"/>
    </xf>
    <xf numFmtId="49" fontId="13" fillId="0" borderId="12" xfId="0" applyNumberFormat="1" applyFont="1" applyBorder="1" applyAlignment="1">
      <alignment vertical="center" wrapText="1"/>
    </xf>
    <xf numFmtId="49" fontId="13" fillId="0" borderId="4"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0" xfId="13" applyNumberFormat="1" applyFont="1" applyBorder="1" applyAlignment="1">
      <alignment vertical="center"/>
    </xf>
    <xf numFmtId="49" fontId="13" fillId="0" borderId="0" xfId="13" applyNumberFormat="1" applyFont="1" applyBorder="1" applyAlignment="1">
      <alignment horizontal="left" vertical="top"/>
    </xf>
    <xf numFmtId="0" fontId="0" fillId="0" borderId="10" xfId="0" applyBorder="1" applyAlignment="1">
      <alignment horizontal="left" vertical="top" wrapText="1"/>
    </xf>
    <xf numFmtId="49" fontId="13" fillId="0" borderId="12" xfId="0" applyNumberFormat="1" applyFont="1" applyBorder="1" applyAlignment="1">
      <alignment horizontal="left" vertical="center" wrapText="1" shrinkToFit="1"/>
    </xf>
    <xf numFmtId="49" fontId="13" fillId="0" borderId="4" xfId="0" applyNumberFormat="1" applyFont="1" applyBorder="1" applyAlignment="1">
      <alignment horizontal="left" vertical="center" wrapText="1" shrinkToFit="1"/>
    </xf>
    <xf numFmtId="49" fontId="13" fillId="0" borderId="13" xfId="0" applyNumberFormat="1" applyFont="1" applyBorder="1" applyAlignment="1">
      <alignment horizontal="left" vertical="center" wrapText="1" shrinkToFit="1"/>
    </xf>
    <xf numFmtId="49" fontId="13" fillId="0" borderId="4" xfId="0" applyNumberFormat="1" applyFont="1" applyBorder="1" applyAlignment="1">
      <alignment horizontal="left" wrapText="1"/>
    </xf>
    <xf numFmtId="49" fontId="13" fillId="0" borderId="13" xfId="0" applyNumberFormat="1" applyFont="1" applyBorder="1" applyAlignment="1">
      <alignment horizontal="left" wrapText="1"/>
    </xf>
    <xf numFmtId="14" fontId="0" fillId="0" borderId="2" xfId="0" quotePrefix="1" applyNumberFormat="1" applyFont="1" applyBorder="1" applyAlignment="1" applyProtection="1">
      <alignment horizontal="left"/>
      <protection locked="0"/>
    </xf>
    <xf numFmtId="14" fontId="0" fillId="0" borderId="2" xfId="0" applyNumberFormat="1" applyFont="1" applyBorder="1" applyAlignment="1" applyProtection="1">
      <alignment horizontal="left"/>
      <protection locked="0"/>
    </xf>
    <xf numFmtId="0" fontId="0" fillId="41" borderId="14" xfId="8" applyFont="1" applyFill="1" applyBorder="1" applyAlignment="1" applyProtection="1">
      <alignment horizontal="left" vertical="center" wrapText="1"/>
      <protection hidden="1"/>
    </xf>
    <xf numFmtId="0" fontId="0" fillId="41" borderId="9" xfId="8" applyFont="1" applyFill="1" applyBorder="1" applyAlignment="1" applyProtection="1">
      <alignment horizontal="left" vertical="center" wrapText="1"/>
      <protection hidden="1"/>
    </xf>
    <xf numFmtId="0" fontId="0" fillId="41" borderId="15" xfId="8" applyFont="1" applyFill="1" applyBorder="1" applyAlignment="1" applyProtection="1">
      <alignment horizontal="left" vertical="center" wrapText="1"/>
      <protection hidden="1"/>
    </xf>
    <xf numFmtId="0" fontId="5" fillId="41" borderId="14" xfId="8" applyFont="1" applyFill="1" applyBorder="1" applyAlignment="1" applyProtection="1">
      <alignment horizontal="left" wrapText="1"/>
      <protection hidden="1"/>
    </xf>
    <xf numFmtId="0" fontId="5" fillId="41" borderId="9" xfId="8" applyFont="1" applyFill="1" applyBorder="1" applyAlignment="1" applyProtection="1">
      <alignment horizontal="left" wrapText="1"/>
      <protection hidden="1"/>
    </xf>
    <xf numFmtId="0" fontId="5" fillId="41" borderId="15" xfId="8" applyFont="1" applyFill="1" applyBorder="1" applyAlignment="1" applyProtection="1">
      <alignment horizontal="left" wrapText="1"/>
      <protection hidden="1"/>
    </xf>
    <xf numFmtId="0" fontId="0" fillId="0" borderId="0" xfId="0" applyFont="1" applyFill="1" applyBorder="1" applyAlignment="1" applyProtection="1">
      <alignment horizontal="left" vertical="center" wrapText="1"/>
      <protection hidden="1"/>
    </xf>
    <xf numFmtId="0" fontId="5" fillId="0" borderId="4" xfId="0" applyFont="1" applyFill="1" applyBorder="1" applyAlignment="1" applyProtection="1">
      <alignment horizontal="left" vertical="center" wrapText="1"/>
      <protection hidden="1"/>
    </xf>
    <xf numFmtId="0" fontId="0" fillId="0" borderId="4" xfId="0" applyFont="1" applyFill="1" applyBorder="1" applyAlignment="1" applyProtection="1">
      <alignment horizontal="left" vertical="center" wrapText="1"/>
      <protection hidden="1"/>
    </xf>
    <xf numFmtId="0" fontId="0" fillId="0" borderId="1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39" borderId="14" xfId="0" applyFont="1" applyFill="1" applyBorder="1" applyAlignment="1" applyProtection="1">
      <alignment horizontal="left" vertical="center" wrapText="1"/>
      <protection hidden="1"/>
    </xf>
    <xf numFmtId="0" fontId="0" fillId="39" borderId="9" xfId="0" applyFont="1" applyFill="1" applyBorder="1" applyAlignment="1" applyProtection="1">
      <alignment horizontal="left" vertical="center" wrapText="1"/>
      <protection hidden="1"/>
    </xf>
    <xf numFmtId="0" fontId="0" fillId="39" borderId="15" xfId="0" applyFont="1" applyFill="1" applyBorder="1" applyAlignment="1" applyProtection="1">
      <alignment horizontal="left" vertical="center" wrapText="1"/>
      <protection hidden="1"/>
    </xf>
    <xf numFmtId="49" fontId="14" fillId="0" borderId="18" xfId="0" applyNumberFormat="1" applyFont="1" applyFill="1" applyBorder="1" applyAlignment="1" applyProtection="1">
      <alignment horizontal="left" vertical="center" wrapText="1" shrinkToFit="1" readingOrder="1"/>
      <protection hidden="1"/>
    </xf>
    <xf numFmtId="49" fontId="14" fillId="0" borderId="19" xfId="0" applyNumberFormat="1" applyFont="1" applyFill="1" applyBorder="1" applyAlignment="1" applyProtection="1">
      <alignment horizontal="left" vertical="center" wrapText="1" shrinkToFit="1" readingOrder="1"/>
      <protection hidden="1"/>
    </xf>
    <xf numFmtId="49" fontId="14" fillId="0" borderId="20" xfId="0" applyNumberFormat="1" applyFont="1" applyFill="1" applyBorder="1" applyAlignment="1" applyProtection="1">
      <alignment horizontal="left" vertical="center" wrapText="1" shrinkToFit="1" readingOrder="1"/>
      <protection hidden="1"/>
    </xf>
    <xf numFmtId="0" fontId="0" fillId="18" borderId="14" xfId="0" applyFont="1" applyFill="1" applyBorder="1" applyAlignment="1" applyProtection="1">
      <alignment horizontal="left" vertical="center" wrapText="1" shrinkToFit="1"/>
      <protection hidden="1"/>
    </xf>
    <xf numFmtId="0" fontId="0" fillId="18" borderId="9" xfId="0" applyFont="1" applyFill="1" applyBorder="1" applyAlignment="1" applyProtection="1">
      <alignment horizontal="left" vertical="center" wrapText="1" shrinkToFit="1"/>
      <protection hidden="1"/>
    </xf>
    <xf numFmtId="0" fontId="0" fillId="18" borderId="14" xfId="0" applyFont="1" applyFill="1" applyBorder="1" applyAlignment="1" applyProtection="1">
      <alignment horizontal="left" vertical="center" wrapText="1"/>
      <protection hidden="1"/>
    </xf>
    <xf numFmtId="0" fontId="0" fillId="18" borderId="9" xfId="0" applyFont="1" applyFill="1" applyBorder="1" applyAlignment="1" applyProtection="1">
      <alignment horizontal="left" vertical="center" wrapText="1"/>
      <protection hidden="1"/>
    </xf>
    <xf numFmtId="0" fontId="0" fillId="18" borderId="15" xfId="0" applyFont="1" applyFill="1" applyBorder="1" applyAlignment="1" applyProtection="1">
      <alignment horizontal="left" vertical="center" wrapText="1"/>
      <protection hidden="1"/>
    </xf>
    <xf numFmtId="1" fontId="0" fillId="0" borderId="14" xfId="0" applyNumberFormat="1" applyFont="1" applyBorder="1" applyAlignment="1" applyProtection="1">
      <alignment horizontal="left" vertical="center"/>
      <protection locked="0"/>
    </xf>
    <xf numFmtId="1" fontId="0" fillId="0" borderId="9" xfId="0" applyNumberFormat="1" applyFont="1" applyBorder="1" applyAlignment="1" applyProtection="1">
      <alignment horizontal="left" vertical="center"/>
      <protection locked="0"/>
    </xf>
    <xf numFmtId="1" fontId="0" fillId="0" borderId="15" xfId="0" applyNumberFormat="1" applyFont="1" applyBorder="1" applyAlignment="1" applyProtection="1">
      <alignment horizontal="left" vertical="center"/>
      <protection locked="0"/>
    </xf>
    <xf numFmtId="0" fontId="0" fillId="0" borderId="14" xfId="0" applyNumberFormat="1" applyFont="1" applyFill="1" applyBorder="1" applyAlignment="1" applyProtection="1">
      <alignment horizontal="left" vertical="center"/>
      <protection locked="0"/>
    </xf>
    <xf numFmtId="0" fontId="0" fillId="0" borderId="9" xfId="0" applyNumberFormat="1" applyFont="1" applyFill="1" applyBorder="1" applyAlignment="1" applyProtection="1">
      <alignment horizontal="left" vertical="center"/>
      <protection locked="0"/>
    </xf>
    <xf numFmtId="0" fontId="0" fillId="0" borderId="15" xfId="0" applyNumberFormat="1" applyFont="1" applyFill="1" applyBorder="1" applyAlignment="1" applyProtection="1">
      <alignment horizontal="left" vertical="center"/>
      <protection locked="0"/>
    </xf>
    <xf numFmtId="0" fontId="0" fillId="39" borderId="14" xfId="0" applyFont="1" applyFill="1" applyBorder="1" applyAlignment="1" applyProtection="1">
      <alignment horizontal="left" vertical="center" wrapText="1" shrinkToFit="1"/>
      <protection hidden="1"/>
    </xf>
    <xf numFmtId="0" fontId="0" fillId="39" borderId="9" xfId="0" applyFont="1" applyFill="1" applyBorder="1" applyAlignment="1" applyProtection="1">
      <alignment horizontal="left" vertical="center" wrapText="1" shrinkToFit="1"/>
      <protection hidden="1"/>
    </xf>
    <xf numFmtId="0" fontId="5" fillId="0" borderId="3" xfId="0" applyNumberFormat="1" applyFont="1" applyFill="1" applyBorder="1" applyAlignment="1" applyProtection="1">
      <alignment horizontal="left" vertical="center" shrinkToFit="1"/>
      <protection hidden="1"/>
    </xf>
    <xf numFmtId="0" fontId="5" fillId="0" borderId="3" xfId="0" applyNumberFormat="1" applyFont="1" applyFill="1" applyBorder="1" applyAlignment="1" applyProtection="1">
      <alignment horizontal="center" shrinkToFit="1"/>
      <protection locked="0"/>
    </xf>
    <xf numFmtId="0" fontId="0" fillId="39" borderId="2" xfId="0" applyFont="1" applyFill="1" applyBorder="1" applyAlignment="1" applyProtection="1">
      <alignment horizontal="left" vertical="center" wrapText="1" shrinkToFit="1"/>
      <protection hidden="1"/>
    </xf>
    <xf numFmtId="49" fontId="0" fillId="0" borderId="2" xfId="0" applyNumberFormat="1" applyFont="1" applyFill="1" applyBorder="1" applyAlignment="1" applyProtection="1">
      <alignment horizontal="left" vertical="center"/>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left"/>
      <protection hidden="1"/>
    </xf>
    <xf numFmtId="0" fontId="0" fillId="0" borderId="2" xfId="0" applyNumberFormat="1" applyFont="1" applyFill="1" applyBorder="1" applyAlignment="1" applyProtection="1">
      <alignment horizontal="left" vertical="center"/>
      <protection locked="0"/>
    </xf>
    <xf numFmtId="0" fontId="5" fillId="0" borderId="4" xfId="0" applyFont="1" applyBorder="1" applyAlignment="1" applyProtection="1">
      <alignment horizontal="left"/>
      <protection hidden="1"/>
    </xf>
    <xf numFmtId="0" fontId="5" fillId="0" borderId="14" xfId="0" applyFont="1" applyFill="1" applyBorder="1" applyAlignment="1" applyProtection="1">
      <alignment horizontal="left" vertical="center"/>
      <protection locked="0"/>
    </xf>
    <xf numFmtId="0" fontId="5" fillId="0" borderId="9"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15" fillId="0" borderId="2" xfId="13" applyNumberFormat="1" applyFont="1" applyFill="1" applyBorder="1" applyAlignment="1" applyProtection="1">
      <alignment horizontal="left" vertical="center"/>
      <protection locked="0"/>
    </xf>
    <xf numFmtId="0" fontId="5" fillId="0" borderId="9" xfId="0" applyNumberFormat="1" applyFont="1" applyFill="1" applyBorder="1" applyAlignment="1" applyProtection="1">
      <alignment horizontal="center" shrinkToFit="1"/>
      <protection hidden="1"/>
    </xf>
    <xf numFmtId="0" fontId="0" fillId="0" borderId="10" xfId="0" applyFont="1" applyFill="1" applyBorder="1" applyAlignment="1" applyProtection="1">
      <alignment horizontal="left" vertical="center" wrapText="1"/>
      <protection hidden="1"/>
    </xf>
    <xf numFmtId="0" fontId="0" fillId="0" borderId="11" xfId="0" applyFont="1" applyFill="1" applyBorder="1" applyAlignment="1" applyProtection="1">
      <alignment horizontal="left" vertical="center" wrapText="1"/>
      <protection hidden="1"/>
    </xf>
    <xf numFmtId="2" fontId="0" fillId="0" borderId="2" xfId="0" applyNumberFormat="1" applyFont="1" applyBorder="1" applyAlignment="1" applyProtection="1">
      <alignment horizontal="left" vertical="center"/>
      <protection locked="0"/>
    </xf>
    <xf numFmtId="2" fontId="0" fillId="0" borderId="14" xfId="0" applyNumberFormat="1" applyFont="1" applyBorder="1" applyAlignment="1" applyProtection="1">
      <alignment horizontal="left" vertical="center"/>
      <protection locked="0"/>
    </xf>
    <xf numFmtId="2" fontId="0" fillId="0" borderId="9" xfId="0" applyNumberFormat="1" applyFont="1" applyBorder="1" applyAlignment="1" applyProtection="1">
      <alignment horizontal="left" vertical="center"/>
      <protection locked="0"/>
    </xf>
    <xf numFmtId="2" fontId="0" fillId="0" borderId="15" xfId="0" applyNumberFormat="1" applyFont="1" applyBorder="1" applyAlignment="1" applyProtection="1">
      <alignment horizontal="left" vertical="center"/>
      <protection locked="0"/>
    </xf>
    <xf numFmtId="2" fontId="0" fillId="0" borderId="14" xfId="0" applyNumberFormat="1" applyFont="1" applyBorder="1" applyAlignment="1" applyProtection="1">
      <alignment horizontal="left" vertical="center" wrapText="1"/>
      <protection locked="0"/>
    </xf>
    <xf numFmtId="2" fontId="0" fillId="0" borderId="9" xfId="0" applyNumberFormat="1" applyFont="1" applyBorder="1" applyAlignment="1" applyProtection="1">
      <alignment horizontal="left" vertical="center" wrapText="1"/>
      <protection locked="0"/>
    </xf>
    <xf numFmtId="2" fontId="0" fillId="0" borderId="15" xfId="0" applyNumberFormat="1" applyFont="1" applyBorder="1" applyAlignment="1" applyProtection="1">
      <alignment horizontal="left" vertical="center" wrapText="1"/>
      <protection locked="0"/>
    </xf>
    <xf numFmtId="164" fontId="0" fillId="0" borderId="2" xfId="0" applyNumberFormat="1" applyFont="1" applyFill="1" applyBorder="1" applyAlignment="1" applyProtection="1">
      <alignment horizontal="left" vertical="center"/>
      <protection locked="0"/>
    </xf>
    <xf numFmtId="0" fontId="5" fillId="0" borderId="14" xfId="0" applyNumberFormat="1" applyFont="1" applyFill="1" applyBorder="1" applyAlignment="1" applyProtection="1">
      <alignment horizontal="left" vertical="center"/>
      <protection locked="0"/>
    </xf>
    <xf numFmtId="0" fontId="5" fillId="0" borderId="9" xfId="0" applyNumberFormat="1" applyFont="1" applyFill="1" applyBorder="1" applyAlignment="1" applyProtection="1">
      <alignment horizontal="left" vertical="center"/>
      <protection locked="0"/>
    </xf>
    <xf numFmtId="0" fontId="5" fillId="0" borderId="15" xfId="0" applyNumberFormat="1" applyFont="1" applyFill="1" applyBorder="1" applyAlignment="1" applyProtection="1">
      <alignment horizontal="left" vertical="center"/>
      <protection locked="0"/>
    </xf>
    <xf numFmtId="0" fontId="5" fillId="0" borderId="9" xfId="0" applyNumberFormat="1" applyFont="1" applyFill="1" applyBorder="1" applyAlignment="1" applyProtection="1">
      <alignment horizontal="left" vertical="center" shrinkToFit="1"/>
      <protection hidden="1"/>
    </xf>
    <xf numFmtId="0" fontId="0" fillId="0" borderId="9" xfId="0" applyNumberFormat="1" applyFont="1" applyFill="1" applyBorder="1" applyAlignment="1" applyProtection="1">
      <alignment horizontal="center" vertical="center" shrinkToFit="1"/>
      <protection locked="0"/>
    </xf>
    <xf numFmtId="0" fontId="5" fillId="21" borderId="14" xfId="0" applyNumberFormat="1" applyFont="1" applyFill="1" applyBorder="1" applyAlignment="1" applyProtection="1">
      <alignment horizontal="left" vertical="center"/>
      <protection locked="0"/>
    </xf>
    <xf numFmtId="0" fontId="5" fillId="21" borderId="9" xfId="0" applyNumberFormat="1" applyFont="1" applyFill="1" applyBorder="1" applyAlignment="1" applyProtection="1">
      <alignment horizontal="left" vertical="center"/>
      <protection locked="0"/>
    </xf>
    <xf numFmtId="0" fontId="5" fillId="21" borderId="15" xfId="0" applyNumberFormat="1" applyFont="1" applyFill="1" applyBorder="1" applyAlignment="1" applyProtection="1">
      <alignment horizontal="left" vertical="center"/>
      <protection locked="0"/>
    </xf>
    <xf numFmtId="173" fontId="0" fillId="38" borderId="14" xfId="0" applyNumberFormat="1" applyFont="1" applyFill="1" applyBorder="1" applyAlignment="1" applyProtection="1">
      <alignment horizontal="left" vertical="center"/>
      <protection hidden="1"/>
    </xf>
    <xf numFmtId="173" fontId="0" fillId="38" borderId="9" xfId="0" applyNumberFormat="1" applyFont="1" applyFill="1" applyBorder="1" applyAlignment="1" applyProtection="1">
      <alignment horizontal="left" vertical="center"/>
      <protection hidden="1"/>
    </xf>
    <xf numFmtId="173" fontId="0" fillId="38" borderId="15" xfId="0" applyNumberFormat="1" applyFont="1" applyFill="1" applyBorder="1" applyAlignment="1" applyProtection="1">
      <alignment horizontal="left" vertical="center"/>
      <protection hidden="1"/>
    </xf>
    <xf numFmtId="0" fontId="0" fillId="39" borderId="2" xfId="0" applyFont="1" applyFill="1" applyBorder="1" applyAlignment="1" applyProtection="1">
      <alignment horizontal="left" vertical="top" shrinkToFit="1"/>
      <protection hidden="1"/>
    </xf>
    <xf numFmtId="0" fontId="0" fillId="0" borderId="3" xfId="0" applyFont="1" applyFill="1" applyBorder="1" applyAlignment="1" applyProtection="1">
      <alignment horizontal="left" vertical="center" wrapText="1"/>
      <protection hidden="1"/>
    </xf>
    <xf numFmtId="0" fontId="0" fillId="0" borderId="3" xfId="0" applyFont="1" applyFill="1" applyBorder="1" applyAlignment="1" applyProtection="1">
      <alignment horizontal="center" vertical="center" wrapText="1"/>
      <protection hidden="1"/>
    </xf>
    <xf numFmtId="0" fontId="5" fillId="0" borderId="4" xfId="0" applyNumberFormat="1" applyFont="1" applyFill="1" applyBorder="1" applyAlignment="1" applyProtection="1">
      <alignment horizontal="left" vertical="center" shrinkToFit="1"/>
      <protection hidden="1"/>
    </xf>
    <xf numFmtId="0" fontId="5" fillId="0" borderId="4" xfId="0" applyNumberFormat="1" applyFont="1" applyFill="1" applyBorder="1" applyAlignment="1" applyProtection="1">
      <alignment horizontal="center" shrinkToFit="1"/>
      <protection locked="0"/>
    </xf>
    <xf numFmtId="0" fontId="11" fillId="39" borderId="49" xfId="0" applyFont="1" applyFill="1" applyBorder="1" applyAlignment="1" applyProtection="1">
      <alignment horizontal="center" vertical="center" wrapText="1"/>
      <protection hidden="1"/>
    </xf>
    <xf numFmtId="0" fontId="11" fillId="39" borderId="37" xfId="0" applyFont="1" applyFill="1" applyBorder="1" applyAlignment="1" applyProtection="1">
      <alignment horizontal="center" vertical="center" wrapText="1"/>
      <protection hidden="1"/>
    </xf>
    <xf numFmtId="49" fontId="2" fillId="39" borderId="75" xfId="7" applyNumberFormat="1" applyFont="1" applyFill="1" applyBorder="1" applyAlignment="1" applyProtection="1">
      <alignment horizontal="left" vertical="center" wrapText="1"/>
      <protection hidden="1"/>
    </xf>
    <xf numFmtId="49" fontId="2" fillId="39" borderId="67" xfId="7" applyNumberFormat="1" applyFont="1" applyFill="1" applyBorder="1" applyAlignment="1" applyProtection="1">
      <alignment horizontal="left" vertical="center" wrapText="1"/>
      <protection hidden="1"/>
    </xf>
    <xf numFmtId="49" fontId="2" fillId="39" borderId="68" xfId="7" applyNumberFormat="1" applyFont="1" applyFill="1" applyBorder="1" applyAlignment="1" applyProtection="1">
      <alignment horizontal="left" vertical="center" wrapText="1"/>
      <protection hidden="1"/>
    </xf>
    <xf numFmtId="0" fontId="11" fillId="40" borderId="31" xfId="0" applyFont="1" applyFill="1" applyBorder="1" applyAlignment="1" applyProtection="1">
      <alignment horizontal="left"/>
      <protection hidden="1"/>
    </xf>
    <xf numFmtId="0" fontId="11" fillId="40" borderId="32" xfId="0" applyFont="1" applyFill="1" applyBorder="1" applyAlignment="1" applyProtection="1">
      <alignment horizontal="left"/>
      <protection hidden="1"/>
    </xf>
    <xf numFmtId="0" fontId="11" fillId="40" borderId="35" xfId="0" applyFont="1" applyFill="1" applyBorder="1" applyAlignment="1" applyProtection="1">
      <alignment horizontal="left"/>
      <protection hidden="1"/>
    </xf>
    <xf numFmtId="0" fontId="13" fillId="39" borderId="23" xfId="0" applyFont="1" applyFill="1" applyBorder="1" applyAlignment="1" applyProtection="1">
      <alignment vertical="top" wrapText="1"/>
      <protection hidden="1"/>
    </xf>
    <xf numFmtId="0" fontId="13" fillId="39" borderId="39" xfId="0" applyFont="1" applyFill="1" applyBorder="1" applyAlignment="1" applyProtection="1">
      <alignment vertical="top" wrapText="1"/>
      <protection hidden="1"/>
    </xf>
    <xf numFmtId="0" fontId="13" fillId="39" borderId="47" xfId="0" applyFont="1" applyFill="1" applyBorder="1" applyAlignment="1" applyProtection="1">
      <alignment vertical="top" wrapText="1"/>
      <protection hidden="1"/>
    </xf>
    <xf numFmtId="0" fontId="13" fillId="39" borderId="2" xfId="0" applyFont="1" applyFill="1" applyBorder="1" applyAlignment="1" applyProtection="1">
      <alignment vertical="top" wrapText="1"/>
      <protection hidden="1"/>
    </xf>
    <xf numFmtId="0" fontId="13" fillId="39" borderId="2" xfId="0" applyFont="1" applyFill="1" applyBorder="1" applyAlignment="1" applyProtection="1">
      <alignment horizontal="center" vertical="top" wrapText="1"/>
      <protection hidden="1"/>
    </xf>
    <xf numFmtId="0" fontId="3" fillId="39" borderId="34" xfId="0" applyFont="1" applyFill="1" applyBorder="1" applyAlignment="1" applyProtection="1">
      <alignment vertical="top" wrapText="1"/>
      <protection hidden="1"/>
    </xf>
    <xf numFmtId="0" fontId="3" fillId="39" borderId="2" xfId="0" applyFont="1" applyFill="1" applyBorder="1" applyAlignment="1" applyProtection="1">
      <alignment horizontal="left" vertical="top" wrapText="1"/>
      <protection hidden="1"/>
    </xf>
    <xf numFmtId="0" fontId="2" fillId="38" borderId="31" xfId="0" applyFont="1" applyFill="1" applyBorder="1" applyAlignment="1" applyProtection="1">
      <alignment horizontal="left" vertical="center" wrapText="1"/>
      <protection hidden="1"/>
    </xf>
    <xf numFmtId="0" fontId="2" fillId="38" borderId="32" xfId="0" applyFont="1" applyFill="1" applyBorder="1" applyAlignment="1" applyProtection="1">
      <alignment horizontal="left" vertical="center"/>
      <protection hidden="1"/>
    </xf>
    <xf numFmtId="0" fontId="2" fillId="38" borderId="33" xfId="0" applyFont="1" applyFill="1" applyBorder="1" applyAlignment="1" applyProtection="1">
      <alignment horizontal="left" vertical="center"/>
      <protection hidden="1"/>
    </xf>
    <xf numFmtId="173" fontId="11" fillId="40" borderId="14" xfId="0" applyNumberFormat="1" applyFont="1" applyFill="1" applyBorder="1" applyAlignment="1" applyProtection="1">
      <alignment horizontal="center"/>
      <protection hidden="1"/>
    </xf>
    <xf numFmtId="173" fontId="11" fillId="40" borderId="9" xfId="0" applyNumberFormat="1" applyFont="1" applyFill="1" applyBorder="1" applyAlignment="1" applyProtection="1">
      <alignment horizontal="center"/>
      <protection hidden="1"/>
    </xf>
    <xf numFmtId="173" fontId="11" fillId="40" borderId="15" xfId="0" applyNumberFormat="1" applyFont="1" applyFill="1" applyBorder="1" applyAlignment="1" applyProtection="1">
      <alignment horizontal="center"/>
      <protection hidden="1"/>
    </xf>
    <xf numFmtId="0" fontId="13" fillId="0" borderId="14" xfId="0" applyFont="1" applyBorder="1" applyAlignment="1" applyProtection="1">
      <alignment horizontal="left"/>
      <protection locked="0"/>
    </xf>
    <xf numFmtId="0" fontId="13" fillId="0" borderId="9"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0" fillId="37" borderId="0" xfId="7" applyFont="1" applyFill="1" applyAlignment="1" applyProtection="1">
      <alignment horizontal="center" vertical="center" wrapText="1"/>
      <protection hidden="1"/>
    </xf>
    <xf numFmtId="0" fontId="12" fillId="37" borderId="0" xfId="7" applyFill="1" applyAlignment="1" applyProtection="1">
      <alignment horizontal="center" vertical="center"/>
      <protection hidden="1"/>
    </xf>
    <xf numFmtId="0" fontId="13" fillId="39" borderId="5" xfId="0" applyFont="1" applyFill="1" applyBorder="1" applyAlignment="1" applyProtection="1">
      <alignment vertical="top" wrapText="1"/>
      <protection hidden="1"/>
    </xf>
    <xf numFmtId="0" fontId="13" fillId="39" borderId="10" xfId="0" applyFont="1" applyFill="1" applyBorder="1" applyAlignment="1" applyProtection="1">
      <alignment vertical="top" wrapText="1"/>
      <protection hidden="1"/>
    </xf>
    <xf numFmtId="0" fontId="13" fillId="39" borderId="48" xfId="0" applyFont="1" applyFill="1" applyBorder="1" applyAlignment="1" applyProtection="1">
      <alignment vertical="top" wrapText="1"/>
      <protection hidden="1"/>
    </xf>
    <xf numFmtId="0" fontId="11" fillId="39" borderId="39" xfId="0" applyFont="1" applyFill="1" applyBorder="1" applyAlignment="1" applyProtection="1">
      <alignment horizontal="center" wrapText="1"/>
      <protection hidden="1"/>
    </xf>
    <xf numFmtId="0" fontId="11" fillId="39" borderId="47" xfId="0" applyFont="1" applyFill="1" applyBorder="1" applyAlignment="1" applyProtection="1">
      <alignment horizontal="center" wrapText="1"/>
      <protection hidden="1"/>
    </xf>
    <xf numFmtId="0" fontId="11" fillId="41" borderId="14" xfId="8" applyFont="1" applyFill="1" applyBorder="1" applyAlignment="1" applyProtection="1">
      <alignment horizontal="left" vertical="center" wrapText="1"/>
      <protection hidden="1"/>
    </xf>
    <xf numFmtId="0" fontId="11" fillId="41" borderId="9" xfId="8" applyFont="1" applyFill="1" applyBorder="1" applyAlignment="1" applyProtection="1">
      <alignment horizontal="left" vertical="center"/>
      <protection hidden="1"/>
    </xf>
    <xf numFmtId="0" fontId="11" fillId="41" borderId="15" xfId="8" applyFont="1" applyFill="1" applyBorder="1" applyAlignment="1" applyProtection="1">
      <alignment horizontal="left" vertical="center"/>
      <protection hidden="1"/>
    </xf>
    <xf numFmtId="2" fontId="13" fillId="39" borderId="2" xfId="0" applyNumberFormat="1" applyFont="1" applyFill="1" applyBorder="1" applyAlignment="1" applyProtection="1">
      <alignment horizontal="left" vertical="center"/>
      <protection hidden="1"/>
    </xf>
    <xf numFmtId="0" fontId="11" fillId="39" borderId="31" xfId="0" applyFont="1" applyFill="1" applyBorder="1" applyAlignment="1" applyProtection="1">
      <alignment horizontal="center" vertical="top" wrapText="1"/>
      <protection hidden="1"/>
    </xf>
    <xf numFmtId="0" fontId="11" fillId="39" borderId="33" xfId="0" applyFont="1" applyFill="1" applyBorder="1" applyAlignment="1" applyProtection="1">
      <alignment horizontal="center" vertical="top" wrapText="1"/>
      <protection hidden="1"/>
    </xf>
    <xf numFmtId="173" fontId="13" fillId="0" borderId="2" xfId="0" applyNumberFormat="1" applyFont="1" applyFill="1" applyBorder="1" applyAlignment="1" applyProtection="1">
      <alignment horizontal="left" vertical="center"/>
      <protection hidden="1"/>
    </xf>
    <xf numFmtId="0" fontId="3" fillId="39" borderId="58" xfId="0" applyFont="1" applyFill="1" applyBorder="1" applyAlignment="1" applyProtection="1">
      <alignment horizontal="center" vertical="top" wrapText="1"/>
      <protection hidden="1"/>
    </xf>
    <xf numFmtId="0" fontId="11" fillId="39" borderId="31" xfId="0" applyFont="1" applyFill="1" applyBorder="1" applyAlignment="1" applyProtection="1">
      <alignment horizontal="center" vertical="center" wrapText="1"/>
      <protection hidden="1"/>
    </xf>
    <xf numFmtId="0" fontId="11" fillId="39" borderId="32" xfId="0" applyFont="1" applyFill="1" applyBorder="1" applyAlignment="1" applyProtection="1">
      <alignment horizontal="center" vertical="center" wrapText="1"/>
      <protection hidden="1"/>
    </xf>
    <xf numFmtId="0" fontId="11" fillId="39" borderId="33" xfId="0" applyFont="1" applyFill="1" applyBorder="1" applyAlignment="1" applyProtection="1">
      <alignment horizontal="center" vertical="center" wrapText="1"/>
      <protection hidden="1"/>
    </xf>
    <xf numFmtId="0" fontId="11" fillId="39" borderId="39" xfId="0" applyFont="1" applyFill="1" applyBorder="1" applyAlignment="1" applyProtection="1">
      <alignment horizontal="center" vertical="top" wrapText="1"/>
      <protection hidden="1"/>
    </xf>
    <xf numFmtId="0" fontId="11" fillId="39" borderId="47" xfId="0" applyFont="1" applyFill="1" applyBorder="1" applyAlignment="1" applyProtection="1">
      <alignment horizontal="center" vertical="top" wrapText="1"/>
      <protection hidden="1"/>
    </xf>
    <xf numFmtId="0" fontId="11" fillId="18" borderId="5" xfId="0" applyFont="1" applyFill="1" applyBorder="1" applyAlignment="1" applyProtection="1">
      <alignment vertical="top" wrapText="1"/>
      <protection hidden="1"/>
    </xf>
    <xf numFmtId="0" fontId="11" fillId="18" borderId="3" xfId="0" applyFont="1" applyFill="1" applyBorder="1" applyAlignment="1" applyProtection="1">
      <alignment vertical="top" wrapText="1"/>
      <protection hidden="1"/>
    </xf>
    <xf numFmtId="0" fontId="11" fillId="39" borderId="49" xfId="0" applyFont="1" applyFill="1" applyBorder="1" applyAlignment="1" applyProtection="1">
      <alignment horizontal="center" wrapText="1"/>
      <protection hidden="1"/>
    </xf>
    <xf numFmtId="0" fontId="13" fillId="41" borderId="7" xfId="0" applyFont="1" applyFill="1" applyBorder="1" applyAlignment="1" applyProtection="1">
      <alignment horizontal="left" vertical="center" wrapText="1"/>
      <protection hidden="1"/>
    </xf>
    <xf numFmtId="0" fontId="13" fillId="41" borderId="17" xfId="0" applyFont="1" applyFill="1" applyBorder="1" applyAlignment="1" applyProtection="1">
      <alignment horizontal="left" vertical="center" wrapText="1"/>
      <protection hidden="1"/>
    </xf>
    <xf numFmtId="0" fontId="13" fillId="41" borderId="26" xfId="0" applyFont="1" applyFill="1" applyBorder="1" applyAlignment="1" applyProtection="1">
      <alignment horizontal="left" vertical="center" wrapText="1"/>
      <protection hidden="1"/>
    </xf>
    <xf numFmtId="0" fontId="13" fillId="41" borderId="21" xfId="0" applyFont="1" applyFill="1" applyBorder="1" applyAlignment="1" applyProtection="1">
      <alignment horizontal="left" vertical="center"/>
      <protection hidden="1"/>
    </xf>
    <xf numFmtId="0" fontId="13" fillId="41" borderId="22" xfId="0" applyFont="1" applyFill="1" applyBorder="1" applyAlignment="1" applyProtection="1">
      <alignment horizontal="left" vertical="center"/>
      <protection hidden="1"/>
    </xf>
    <xf numFmtId="0" fontId="13" fillId="41" borderId="36" xfId="0" applyFont="1" applyFill="1" applyBorder="1" applyAlignment="1" applyProtection="1">
      <alignment horizontal="left" vertical="center"/>
      <protection hidden="1"/>
    </xf>
    <xf numFmtId="0" fontId="13" fillId="41" borderId="14" xfId="0" applyFont="1" applyFill="1" applyBorder="1" applyAlignment="1" applyProtection="1">
      <alignment horizontal="left" vertical="center"/>
      <protection hidden="1"/>
    </xf>
    <xf numFmtId="0" fontId="13" fillId="41" borderId="9" xfId="0" applyFont="1" applyFill="1" applyBorder="1" applyAlignment="1" applyProtection="1">
      <alignment horizontal="left" vertical="center"/>
      <protection hidden="1"/>
    </xf>
    <xf numFmtId="0" fontId="13" fillId="41" borderId="15" xfId="0" applyFont="1" applyFill="1" applyBorder="1" applyAlignment="1" applyProtection="1">
      <alignment horizontal="left" vertical="center"/>
      <protection hidden="1"/>
    </xf>
    <xf numFmtId="168" fontId="13" fillId="41" borderId="14" xfId="0" applyNumberFormat="1" applyFont="1" applyFill="1" applyBorder="1" applyAlignment="1" applyProtection="1">
      <alignment horizontal="left" vertical="center" wrapText="1"/>
      <protection hidden="1"/>
    </xf>
    <xf numFmtId="168" fontId="13" fillId="41" borderId="9" xfId="0" applyNumberFormat="1" applyFont="1" applyFill="1" applyBorder="1" applyAlignment="1" applyProtection="1">
      <alignment horizontal="left" vertical="center" wrapText="1"/>
      <protection hidden="1"/>
    </xf>
    <xf numFmtId="168" fontId="13" fillId="41" borderId="15" xfId="0" applyNumberFormat="1" applyFont="1" applyFill="1" applyBorder="1" applyAlignment="1" applyProtection="1">
      <alignment horizontal="left" vertical="center" wrapText="1"/>
      <protection hidden="1"/>
    </xf>
    <xf numFmtId="0" fontId="3" fillId="38" borderId="34" xfId="0" applyFont="1" applyFill="1" applyBorder="1" applyAlignment="1" applyProtection="1">
      <alignment horizontal="center"/>
      <protection hidden="1"/>
    </xf>
    <xf numFmtId="0" fontId="3" fillId="38" borderId="2" xfId="0" applyFont="1" applyFill="1" applyBorder="1" applyAlignment="1" applyProtection="1">
      <alignment horizontal="center"/>
      <protection hidden="1"/>
    </xf>
    <xf numFmtId="0" fontId="3" fillId="38" borderId="58" xfId="0" applyFont="1" applyFill="1" applyBorder="1" applyAlignment="1" applyProtection="1">
      <alignment horizontal="center"/>
      <protection hidden="1"/>
    </xf>
    <xf numFmtId="0" fontId="13" fillId="40" borderId="2" xfId="0" applyFont="1" applyFill="1" applyBorder="1" applyAlignment="1" applyProtection="1">
      <alignment horizontal="left" vertical="center"/>
      <protection hidden="1"/>
    </xf>
    <xf numFmtId="0" fontId="13" fillId="40" borderId="14" xfId="0" applyFont="1" applyFill="1" applyBorder="1" applyAlignment="1" applyProtection="1">
      <alignment horizontal="left" vertical="center"/>
      <protection hidden="1"/>
    </xf>
    <xf numFmtId="0" fontId="13" fillId="40" borderId="9" xfId="0" applyFont="1" applyFill="1" applyBorder="1" applyAlignment="1" applyProtection="1">
      <alignment horizontal="left" vertical="center"/>
      <protection hidden="1"/>
    </xf>
    <xf numFmtId="0" fontId="13" fillId="40" borderId="15" xfId="0" applyFont="1" applyFill="1" applyBorder="1" applyAlignment="1" applyProtection="1">
      <alignment horizontal="left" vertical="center"/>
      <protection hidden="1"/>
    </xf>
    <xf numFmtId="0" fontId="11" fillId="0" borderId="0" xfId="0" applyFont="1" applyProtection="1">
      <protection hidden="1"/>
    </xf>
    <xf numFmtId="0" fontId="11" fillId="0" borderId="0" xfId="0" applyFont="1" applyAlignment="1" applyProtection="1">
      <alignment horizontal="left" vertical="center"/>
      <protection hidden="1"/>
    </xf>
    <xf numFmtId="173" fontId="13" fillId="39" borderId="2" xfId="0" applyNumberFormat="1" applyFont="1" applyFill="1" applyBorder="1" applyAlignment="1" applyProtection="1">
      <alignment horizontal="left" vertical="center"/>
      <protection hidden="1"/>
    </xf>
    <xf numFmtId="0" fontId="11" fillId="41" borderId="2" xfId="8" applyFont="1" applyFill="1" applyBorder="1" applyAlignment="1" applyProtection="1">
      <alignment horizontal="center" vertical="center" wrapText="1"/>
      <protection hidden="1"/>
    </xf>
    <xf numFmtId="0" fontId="11" fillId="41" borderId="2" xfId="8" applyFont="1" applyFill="1" applyBorder="1" applyAlignment="1" applyProtection="1">
      <alignment horizontal="center" vertical="center"/>
      <protection hidden="1"/>
    </xf>
    <xf numFmtId="0" fontId="11" fillId="41" borderId="9" xfId="8" applyFont="1" applyFill="1" applyBorder="1" applyAlignment="1" applyProtection="1">
      <alignment horizontal="left" vertical="center" wrapText="1"/>
      <protection hidden="1"/>
    </xf>
    <xf numFmtId="0" fontId="11" fillId="41" borderId="15" xfId="8" applyFont="1" applyFill="1" applyBorder="1" applyAlignment="1" applyProtection="1">
      <alignment horizontal="left" vertical="center" wrapText="1"/>
      <protection hidden="1"/>
    </xf>
    <xf numFmtId="0" fontId="11" fillId="41" borderId="14" xfId="8" applyFont="1" applyFill="1" applyBorder="1" applyAlignment="1" applyProtection="1">
      <alignment horizontal="center" vertical="center"/>
      <protection hidden="1"/>
    </xf>
    <xf numFmtId="0" fontId="11" fillId="41" borderId="15" xfId="8" applyFont="1" applyFill="1" applyBorder="1" applyAlignment="1" applyProtection="1">
      <alignment horizontal="center" vertical="center"/>
      <protection hidden="1"/>
    </xf>
    <xf numFmtId="0" fontId="11" fillId="39" borderId="2" xfId="0" applyFont="1" applyFill="1" applyBorder="1" applyAlignment="1" applyProtection="1">
      <alignment horizontal="center" vertical="top" wrapText="1"/>
      <protection hidden="1"/>
    </xf>
    <xf numFmtId="0" fontId="11" fillId="41" borderId="5" xfId="8" applyFont="1" applyFill="1" applyBorder="1" applyAlignment="1" applyProtection="1">
      <alignment horizontal="left" vertical="center" wrapText="1"/>
      <protection hidden="1"/>
    </xf>
    <xf numFmtId="0" fontId="11" fillId="41" borderId="3" xfId="8" applyFont="1" applyFill="1" applyBorder="1" applyAlignment="1" applyProtection="1">
      <alignment horizontal="left" vertical="center" wrapText="1"/>
      <protection hidden="1"/>
    </xf>
    <xf numFmtId="0" fontId="11" fillId="41" borderId="6" xfId="8" applyFont="1" applyFill="1" applyBorder="1" applyAlignment="1" applyProtection="1">
      <alignment horizontal="left" vertical="center" wrapText="1"/>
      <protection hidden="1"/>
    </xf>
    <xf numFmtId="0" fontId="3" fillId="39" borderId="2" xfId="0" applyFont="1" applyFill="1" applyBorder="1" applyAlignment="1" applyProtection="1">
      <alignment vertical="top" wrapText="1"/>
      <protection hidden="1"/>
    </xf>
    <xf numFmtId="0" fontId="3" fillId="39" borderId="14" xfId="0" applyFont="1" applyFill="1" applyBorder="1" applyAlignment="1" applyProtection="1">
      <alignment horizontal="center" vertical="top" wrapText="1"/>
      <protection hidden="1"/>
    </xf>
    <xf numFmtId="0" fontId="3" fillId="39" borderId="15" xfId="0" applyFont="1" applyFill="1" applyBorder="1" applyAlignment="1" applyProtection="1">
      <alignment horizontal="center" vertical="top" wrapText="1"/>
      <protection hidden="1"/>
    </xf>
    <xf numFmtId="0" fontId="11" fillId="39" borderId="14" xfId="7" applyNumberFormat="1" applyFont="1" applyFill="1" applyBorder="1" applyAlignment="1" applyProtection="1">
      <alignment horizontal="left" vertical="center" wrapText="1"/>
      <protection hidden="1"/>
    </xf>
    <xf numFmtId="0" fontId="11" fillId="39" borderId="9" xfId="7" applyNumberFormat="1" applyFont="1" applyFill="1" applyBorder="1" applyAlignment="1" applyProtection="1">
      <alignment horizontal="left" vertical="center"/>
      <protection hidden="1"/>
    </xf>
    <xf numFmtId="0" fontId="11" fillId="39" borderId="15" xfId="7" applyNumberFormat="1" applyFont="1" applyFill="1" applyBorder="1" applyAlignment="1" applyProtection="1">
      <alignment horizontal="left" vertical="center"/>
      <protection hidden="1"/>
    </xf>
    <xf numFmtId="0" fontId="3" fillId="39" borderId="5" xfId="0" applyFont="1" applyFill="1" applyBorder="1" applyAlignment="1" applyProtection="1">
      <alignment horizontal="left" vertical="top" wrapText="1"/>
      <protection hidden="1"/>
    </xf>
    <xf numFmtId="0" fontId="3" fillId="39" borderId="3" xfId="0" applyFont="1" applyFill="1" applyBorder="1" applyAlignment="1" applyProtection="1">
      <alignment horizontal="left" vertical="top" wrapText="1"/>
      <protection hidden="1"/>
    </xf>
    <xf numFmtId="0" fontId="3" fillId="39" borderId="6" xfId="0" applyFont="1" applyFill="1" applyBorder="1" applyAlignment="1" applyProtection="1">
      <alignment horizontal="left" vertical="top" wrapText="1"/>
      <protection hidden="1"/>
    </xf>
    <xf numFmtId="0" fontId="3" fillId="39" borderId="10" xfId="0" applyFont="1" applyFill="1" applyBorder="1" applyAlignment="1" applyProtection="1">
      <alignment horizontal="left" vertical="top" wrapText="1"/>
      <protection hidden="1"/>
    </xf>
    <xf numFmtId="0" fontId="3" fillId="39" borderId="0" xfId="0" applyFont="1" applyFill="1" applyBorder="1" applyAlignment="1" applyProtection="1">
      <alignment horizontal="left" vertical="top" wrapText="1"/>
      <protection hidden="1"/>
    </xf>
    <xf numFmtId="0" fontId="3" fillId="39" borderId="45" xfId="0" applyFont="1" applyFill="1" applyBorder="1" applyAlignment="1" applyProtection="1">
      <alignment horizontal="left" vertical="top" wrapText="1"/>
      <protection hidden="1"/>
    </xf>
    <xf numFmtId="0" fontId="3" fillId="39" borderId="12" xfId="0" applyFont="1" applyFill="1" applyBorder="1" applyAlignment="1" applyProtection="1">
      <alignment horizontal="left" vertical="top" wrapText="1"/>
      <protection hidden="1"/>
    </xf>
    <xf numFmtId="0" fontId="3" fillId="39" borderId="4" xfId="0" applyFont="1" applyFill="1" applyBorder="1" applyAlignment="1" applyProtection="1">
      <alignment horizontal="left" vertical="top" wrapText="1"/>
      <protection hidden="1"/>
    </xf>
    <xf numFmtId="0" fontId="3" fillId="39" borderId="13" xfId="0" applyFont="1" applyFill="1" applyBorder="1" applyAlignment="1" applyProtection="1">
      <alignment horizontal="left" vertical="top" wrapText="1"/>
      <protection hidden="1"/>
    </xf>
    <xf numFmtId="0" fontId="11" fillId="39" borderId="14" xfId="7" applyNumberFormat="1" applyFont="1" applyFill="1" applyBorder="1" applyAlignment="1" applyProtection="1">
      <alignment horizontal="left" wrapText="1"/>
      <protection hidden="1"/>
    </xf>
    <xf numFmtId="0" fontId="11" fillId="39" borderId="9" xfId="7" applyNumberFormat="1" applyFont="1" applyFill="1" applyBorder="1" applyAlignment="1" applyProtection="1">
      <alignment horizontal="left"/>
      <protection hidden="1"/>
    </xf>
    <xf numFmtId="0" fontId="11" fillId="39" borderId="15" xfId="7" applyNumberFormat="1" applyFont="1" applyFill="1" applyBorder="1" applyAlignment="1" applyProtection="1">
      <alignment horizontal="left"/>
      <protection hidden="1"/>
    </xf>
    <xf numFmtId="0" fontId="11" fillId="39" borderId="49" xfId="0" applyFont="1" applyFill="1" applyBorder="1" applyAlignment="1" applyProtection="1">
      <alignment horizontal="center" vertical="top" wrapText="1"/>
      <protection hidden="1"/>
    </xf>
    <xf numFmtId="164" fontId="3" fillId="41" borderId="2" xfId="8" applyNumberFormat="1" applyFont="1" applyFill="1" applyBorder="1" applyAlignment="1" applyProtection="1">
      <alignment horizontal="left" vertical="top" wrapText="1"/>
      <protection hidden="1"/>
    </xf>
    <xf numFmtId="164" fontId="3" fillId="41" borderId="2" xfId="8" applyNumberFormat="1" applyFont="1" applyFill="1" applyBorder="1" applyAlignment="1" applyProtection="1">
      <alignment horizontal="left" vertical="top"/>
      <protection hidden="1"/>
    </xf>
    <xf numFmtId="0" fontId="11" fillId="39" borderId="55" xfId="0" applyFont="1" applyFill="1" applyBorder="1" applyAlignment="1" applyProtection="1">
      <alignment horizontal="center" vertical="center" wrapText="1"/>
      <protection hidden="1"/>
    </xf>
    <xf numFmtId="0" fontId="11" fillId="39" borderId="56" xfId="0" applyFont="1" applyFill="1" applyBorder="1" applyAlignment="1" applyProtection="1">
      <alignment horizontal="center" vertical="center" wrapText="1"/>
      <protection hidden="1"/>
    </xf>
    <xf numFmtId="0" fontId="11" fillId="39" borderId="57" xfId="0" applyFont="1" applyFill="1" applyBorder="1" applyAlignment="1" applyProtection="1">
      <alignment horizontal="center" vertical="center" wrapText="1"/>
      <protection hidden="1"/>
    </xf>
    <xf numFmtId="0" fontId="11" fillId="39" borderId="34" xfId="0" applyFont="1" applyFill="1" applyBorder="1" applyAlignment="1" applyProtection="1">
      <alignment horizontal="center" wrapText="1"/>
      <protection hidden="1"/>
    </xf>
    <xf numFmtId="0" fontId="11" fillId="39" borderId="2" xfId="0" applyFont="1" applyFill="1" applyBorder="1" applyAlignment="1" applyProtection="1">
      <alignment horizontal="center" wrapText="1"/>
      <protection hidden="1"/>
    </xf>
    <xf numFmtId="0" fontId="11" fillId="39" borderId="58" xfId="0" applyFont="1" applyFill="1" applyBorder="1" applyAlignment="1" applyProtection="1">
      <alignment horizontal="center" wrapText="1"/>
      <protection hidden="1"/>
    </xf>
    <xf numFmtId="0" fontId="11" fillId="39" borderId="65" xfId="0" applyFont="1" applyFill="1" applyBorder="1" applyAlignment="1" applyProtection="1">
      <alignment horizontal="left" vertical="top" wrapText="1"/>
      <protection hidden="1"/>
    </xf>
    <xf numFmtId="0" fontId="11" fillId="39" borderId="46" xfId="0" applyFont="1" applyFill="1" applyBorder="1" applyAlignment="1" applyProtection="1">
      <alignment horizontal="left" vertical="top" wrapText="1"/>
      <protection hidden="1"/>
    </xf>
    <xf numFmtId="0" fontId="11" fillId="39" borderId="66" xfId="0" applyFont="1" applyFill="1" applyBorder="1" applyAlignment="1" applyProtection="1">
      <alignment horizontal="left" vertical="top" wrapText="1"/>
      <protection hidden="1"/>
    </xf>
    <xf numFmtId="0" fontId="11" fillId="39" borderId="47" xfId="0" applyFont="1" applyFill="1" applyBorder="1" applyAlignment="1" applyProtection="1">
      <alignment horizontal="center" vertical="center" wrapText="1"/>
      <protection hidden="1"/>
    </xf>
    <xf numFmtId="164" fontId="11" fillId="17" borderId="59" xfId="8" applyNumberFormat="1" applyFont="1" applyFill="1" applyBorder="1" applyAlignment="1" applyProtection="1">
      <alignment horizontal="left" vertical="center"/>
      <protection hidden="1"/>
    </xf>
    <xf numFmtId="164" fontId="11" fillId="17" borderId="60" xfId="8" applyNumberFormat="1" applyFont="1" applyFill="1" applyBorder="1" applyAlignment="1" applyProtection="1">
      <alignment horizontal="left" vertical="center"/>
      <protection hidden="1"/>
    </xf>
    <xf numFmtId="0" fontId="11" fillId="0" borderId="0" xfId="0" applyFont="1" applyAlignment="1" applyProtection="1">
      <alignment horizontal="left"/>
      <protection hidden="1"/>
    </xf>
    <xf numFmtId="0" fontId="13" fillId="18" borderId="14" xfId="0" applyFont="1" applyFill="1" applyBorder="1" applyAlignment="1" applyProtection="1">
      <alignment vertical="top" wrapText="1"/>
      <protection hidden="1"/>
    </xf>
    <xf numFmtId="0" fontId="13" fillId="18" borderId="2" xfId="0" applyFont="1" applyFill="1" applyBorder="1" applyAlignment="1" applyProtection="1">
      <alignment horizontal="left" vertical="top" wrapText="1"/>
      <protection hidden="1"/>
    </xf>
    <xf numFmtId="0" fontId="13" fillId="18" borderId="34" xfId="0" applyFont="1" applyFill="1" applyBorder="1" applyAlignment="1" applyProtection="1">
      <alignment vertical="top" wrapText="1"/>
      <protection hidden="1"/>
    </xf>
    <xf numFmtId="0" fontId="13" fillId="18" borderId="2" xfId="0" applyFont="1" applyFill="1" applyBorder="1" applyAlignment="1" applyProtection="1">
      <alignment vertical="top" wrapText="1"/>
      <protection hidden="1"/>
    </xf>
    <xf numFmtId="0" fontId="11" fillId="17" borderId="75" xfId="8" applyFont="1" applyFill="1" applyBorder="1" applyAlignment="1" applyProtection="1">
      <alignment horizontal="left"/>
      <protection hidden="1"/>
    </xf>
    <xf numFmtId="0" fontId="11" fillId="17" borderId="67" xfId="8" applyFont="1" applyFill="1" applyBorder="1" applyAlignment="1" applyProtection="1">
      <alignment horizontal="left"/>
      <protection hidden="1"/>
    </xf>
    <xf numFmtId="0" fontId="11" fillId="17" borderId="68" xfId="8" applyFont="1" applyFill="1" applyBorder="1" applyAlignment="1" applyProtection="1">
      <alignment horizontal="left"/>
      <protection hidden="1"/>
    </xf>
    <xf numFmtId="0" fontId="13" fillId="18" borderId="58" xfId="0" applyFont="1" applyFill="1" applyBorder="1" applyAlignment="1" applyProtection="1">
      <alignment vertical="top" wrapText="1"/>
      <protection hidden="1"/>
    </xf>
    <xf numFmtId="0" fontId="13" fillId="16" borderId="55" xfId="0" applyFont="1" applyFill="1" applyBorder="1" applyAlignment="1" applyProtection="1">
      <alignment horizontal="left" vertical="center"/>
      <protection hidden="1"/>
    </xf>
    <xf numFmtId="0" fontId="13" fillId="16" borderId="56" xfId="0" applyFont="1" applyFill="1" applyBorder="1" applyAlignment="1" applyProtection="1">
      <alignment horizontal="left" vertical="center"/>
      <protection hidden="1"/>
    </xf>
    <xf numFmtId="0" fontId="13" fillId="16" borderId="34" xfId="0" applyFont="1" applyFill="1" applyBorder="1" applyAlignment="1" applyProtection="1">
      <alignment horizontal="left" vertical="center"/>
      <protection hidden="1"/>
    </xf>
    <xf numFmtId="0" fontId="13" fillId="16" borderId="2" xfId="0" applyFont="1" applyFill="1" applyBorder="1" applyAlignment="1" applyProtection="1">
      <alignment horizontal="left" vertical="center"/>
      <protection hidden="1"/>
    </xf>
    <xf numFmtId="0" fontId="13" fillId="16" borderId="59" xfId="0" applyFont="1" applyFill="1" applyBorder="1" applyAlignment="1" applyProtection="1">
      <alignment horizontal="left" vertical="center"/>
      <protection hidden="1"/>
    </xf>
    <xf numFmtId="0" fontId="13" fillId="16" borderId="60" xfId="0" applyFont="1" applyFill="1" applyBorder="1" applyAlignment="1" applyProtection="1">
      <alignment horizontal="left" vertical="center"/>
      <protection hidden="1"/>
    </xf>
    <xf numFmtId="0" fontId="13" fillId="16" borderId="74" xfId="0" applyFont="1" applyFill="1" applyBorder="1" applyAlignment="1" applyProtection="1">
      <alignment horizontal="left" vertical="center"/>
      <protection hidden="1"/>
    </xf>
    <xf numFmtId="0" fontId="13" fillId="16" borderId="42" xfId="0" applyFont="1" applyFill="1" applyBorder="1" applyAlignment="1" applyProtection="1">
      <alignment horizontal="left" vertical="center"/>
      <protection hidden="1"/>
    </xf>
    <xf numFmtId="0" fontId="13" fillId="16" borderId="43" xfId="0" applyFont="1" applyFill="1" applyBorder="1" applyAlignment="1" applyProtection="1">
      <alignment horizontal="left" vertical="center"/>
      <protection hidden="1"/>
    </xf>
    <xf numFmtId="0" fontId="13" fillId="16" borderId="14" xfId="0" applyFont="1" applyFill="1" applyBorder="1" applyAlignment="1" applyProtection="1">
      <alignment horizontal="left" vertical="center"/>
      <protection hidden="1"/>
    </xf>
    <xf numFmtId="0" fontId="13" fillId="16" borderId="9" xfId="0" applyFont="1" applyFill="1" applyBorder="1" applyAlignment="1" applyProtection="1">
      <alignment horizontal="left" vertical="center"/>
      <protection hidden="1"/>
    </xf>
    <xf numFmtId="0" fontId="13" fillId="16" borderId="76" xfId="0" applyFont="1" applyFill="1" applyBorder="1" applyAlignment="1" applyProtection="1">
      <alignment horizontal="left" vertical="center"/>
      <protection hidden="1"/>
    </xf>
    <xf numFmtId="0" fontId="13" fillId="16" borderId="69" xfId="0" applyFont="1" applyFill="1" applyBorder="1" applyAlignment="1" applyProtection="1">
      <alignment horizontal="left" vertical="center"/>
      <protection hidden="1"/>
    </xf>
    <xf numFmtId="0" fontId="13" fillId="16" borderId="77" xfId="0" applyFont="1" applyFill="1" applyBorder="1" applyAlignment="1" applyProtection="1">
      <alignment horizontal="left" vertical="center"/>
      <protection hidden="1"/>
    </xf>
    <xf numFmtId="0" fontId="13" fillId="16" borderId="78" xfId="0" applyFont="1" applyFill="1" applyBorder="1" applyAlignment="1" applyProtection="1">
      <alignment horizontal="left" vertical="center"/>
      <protection hidden="1"/>
    </xf>
    <xf numFmtId="0" fontId="11" fillId="39" borderId="41" xfId="0" applyFont="1" applyFill="1" applyBorder="1" applyAlignment="1" applyProtection="1">
      <alignment horizontal="left" vertical="top" wrapText="1"/>
      <protection hidden="1"/>
    </xf>
    <xf numFmtId="0" fontId="11" fillId="39" borderId="42" xfId="0" applyFont="1" applyFill="1" applyBorder="1" applyAlignment="1" applyProtection="1">
      <alignment horizontal="left" vertical="top" wrapText="1"/>
      <protection hidden="1"/>
    </xf>
    <xf numFmtId="0" fontId="11" fillId="39" borderId="43" xfId="0" applyFont="1" applyFill="1" applyBorder="1" applyAlignment="1" applyProtection="1">
      <alignment horizontal="left" vertical="top" wrapText="1"/>
      <protection hidden="1"/>
    </xf>
    <xf numFmtId="0" fontId="13" fillId="16" borderId="57" xfId="0" applyFont="1" applyFill="1" applyBorder="1" applyAlignment="1" applyProtection="1">
      <alignment horizontal="left" vertical="center"/>
      <protection hidden="1"/>
    </xf>
    <xf numFmtId="0" fontId="13" fillId="16" borderId="58" xfId="0" applyFont="1" applyFill="1" applyBorder="1" applyAlignment="1" applyProtection="1">
      <alignment horizontal="left" vertical="center"/>
      <protection hidden="1"/>
    </xf>
    <xf numFmtId="0" fontId="13" fillId="16" borderId="61" xfId="0" applyFont="1" applyFill="1" applyBorder="1" applyAlignment="1" applyProtection="1">
      <alignment horizontal="left" vertical="center"/>
      <protection hidden="1"/>
    </xf>
    <xf numFmtId="0" fontId="13" fillId="39" borderId="2" xfId="0" applyNumberFormat="1" applyFont="1" applyFill="1" applyBorder="1" applyAlignment="1" applyProtection="1">
      <alignment horizontal="left" vertical="top" wrapText="1"/>
      <protection hidden="1"/>
    </xf>
    <xf numFmtId="0" fontId="13" fillId="18" borderId="70" xfId="0" applyFont="1" applyFill="1" applyBorder="1" applyAlignment="1" applyProtection="1">
      <alignment horizontal="center" vertical="top" wrapText="1"/>
      <protection hidden="1"/>
    </xf>
    <xf numFmtId="0" fontId="13" fillId="18" borderId="71" xfId="0" applyFont="1" applyFill="1" applyBorder="1" applyAlignment="1" applyProtection="1">
      <alignment horizontal="center" vertical="top" wrapText="1"/>
      <protection hidden="1"/>
    </xf>
    <xf numFmtId="0" fontId="13" fillId="18" borderId="72" xfId="0" applyFont="1" applyFill="1" applyBorder="1" applyAlignment="1" applyProtection="1">
      <alignment horizontal="center" vertical="top" wrapText="1"/>
      <protection hidden="1"/>
    </xf>
    <xf numFmtId="49" fontId="11" fillId="38" borderId="59" xfId="0" applyNumberFormat="1" applyFont="1" applyFill="1" applyBorder="1" applyAlignment="1" applyProtection="1">
      <alignment horizontal="left"/>
      <protection hidden="1"/>
    </xf>
    <xf numFmtId="49" fontId="11" fillId="38" borderId="60" xfId="0" applyNumberFormat="1" applyFont="1" applyFill="1" applyBorder="1" applyAlignment="1" applyProtection="1">
      <alignment horizontal="left"/>
      <protection hidden="1"/>
    </xf>
    <xf numFmtId="0" fontId="13" fillId="39" borderId="23" xfId="0" applyNumberFormat="1" applyFont="1" applyFill="1" applyBorder="1" applyAlignment="1" applyProtection="1">
      <alignment horizontal="center" vertical="top" wrapText="1"/>
      <protection hidden="1"/>
    </xf>
    <xf numFmtId="0" fontId="13" fillId="39" borderId="39" xfId="0" applyNumberFormat="1" applyFont="1" applyFill="1" applyBorder="1" applyAlignment="1" applyProtection="1">
      <alignment horizontal="center" vertical="top" wrapText="1"/>
      <protection hidden="1"/>
    </xf>
    <xf numFmtId="0" fontId="13" fillId="39" borderId="37" xfId="0" applyNumberFormat="1" applyFont="1" applyFill="1" applyBorder="1" applyAlignment="1" applyProtection="1">
      <alignment horizontal="center" vertical="top" wrapText="1"/>
      <protection hidden="1"/>
    </xf>
    <xf numFmtId="0" fontId="3" fillId="40" borderId="14" xfId="0" applyFont="1" applyFill="1" applyBorder="1" applyAlignment="1" applyProtection="1">
      <alignment horizontal="left"/>
      <protection hidden="1"/>
    </xf>
    <xf numFmtId="0" fontId="3" fillId="40" borderId="9" xfId="0" applyFont="1" applyFill="1" applyBorder="1" applyAlignment="1" applyProtection="1">
      <alignment horizontal="left"/>
      <protection hidden="1"/>
    </xf>
    <xf numFmtId="0" fontId="3" fillId="40" borderId="15" xfId="0" applyFont="1" applyFill="1" applyBorder="1" applyAlignment="1" applyProtection="1">
      <alignment horizontal="left"/>
      <protection hidden="1"/>
    </xf>
    <xf numFmtId="0" fontId="2" fillId="0" borderId="0" xfId="0" applyFont="1" applyAlignment="1" applyProtection="1">
      <alignment horizontal="left"/>
      <protection hidden="1"/>
    </xf>
    <xf numFmtId="0" fontId="3" fillId="0" borderId="0" xfId="0" applyFont="1" applyProtection="1">
      <protection hidden="1"/>
    </xf>
    <xf numFmtId="0" fontId="13" fillId="0" borderId="5" xfId="0" applyNumberFormat="1" applyFont="1" applyBorder="1" applyAlignment="1" applyProtection="1">
      <alignment horizontal="left" vertical="center" wrapText="1"/>
      <protection hidden="1"/>
    </xf>
    <xf numFmtId="0" fontId="13" fillId="0" borderId="3" xfId="0" applyNumberFormat="1" applyFont="1" applyBorder="1" applyAlignment="1" applyProtection="1">
      <alignment horizontal="left" vertical="center" wrapText="1"/>
      <protection hidden="1"/>
    </xf>
    <xf numFmtId="0" fontId="13" fillId="0" borderId="6" xfId="0" applyNumberFormat="1" applyFont="1" applyBorder="1" applyAlignment="1" applyProtection="1">
      <alignment horizontal="left" vertical="center" wrapText="1"/>
      <protection hidden="1"/>
    </xf>
    <xf numFmtId="0" fontId="13" fillId="0" borderId="10" xfId="0" applyNumberFormat="1" applyFont="1" applyBorder="1" applyAlignment="1" applyProtection="1">
      <alignment horizontal="left" vertical="center" wrapText="1"/>
      <protection hidden="1"/>
    </xf>
    <xf numFmtId="0" fontId="13" fillId="0" borderId="0" xfId="0" applyNumberFormat="1" applyFont="1" applyBorder="1" applyAlignment="1" applyProtection="1">
      <alignment horizontal="left" vertical="center" wrapText="1"/>
      <protection hidden="1"/>
    </xf>
    <xf numFmtId="0" fontId="13" fillId="0" borderId="11" xfId="0" applyNumberFormat="1" applyFont="1" applyBorder="1" applyAlignment="1" applyProtection="1">
      <alignment horizontal="left" vertical="center" wrapText="1"/>
      <protection hidden="1"/>
    </xf>
    <xf numFmtId="0" fontId="13" fillId="0" borderId="12" xfId="0" applyNumberFormat="1" applyFont="1" applyBorder="1" applyAlignment="1" applyProtection="1">
      <alignment horizontal="left" vertical="center" wrapText="1"/>
      <protection hidden="1"/>
    </xf>
    <xf numFmtId="0" fontId="13" fillId="0" borderId="4" xfId="0" applyNumberFormat="1" applyFont="1" applyBorder="1" applyAlignment="1" applyProtection="1">
      <alignment horizontal="left" vertical="center" wrapText="1"/>
      <protection hidden="1"/>
    </xf>
    <xf numFmtId="0" fontId="13" fillId="0" borderId="13" xfId="0" applyNumberFormat="1" applyFont="1" applyBorder="1" applyAlignment="1" applyProtection="1">
      <alignment horizontal="left" vertical="center" wrapText="1"/>
      <protection hidden="1"/>
    </xf>
    <xf numFmtId="0" fontId="13" fillId="0" borderId="4" xfId="0" applyFont="1" applyBorder="1" applyAlignment="1" applyProtection="1">
      <alignment horizontal="left"/>
      <protection hidden="1"/>
    </xf>
    <xf numFmtId="0" fontId="3" fillId="0" borderId="3" xfId="0" applyNumberFormat="1" applyFont="1" applyBorder="1" applyAlignment="1" applyProtection="1">
      <alignment vertical="center"/>
      <protection hidden="1"/>
    </xf>
    <xf numFmtId="0" fontId="2" fillId="39" borderId="2" xfId="0" applyFont="1" applyFill="1" applyBorder="1" applyAlignment="1" applyProtection="1">
      <alignment horizontal="left"/>
      <protection hidden="1"/>
    </xf>
    <xf numFmtId="0" fontId="11" fillId="39" borderId="2" xfId="0" applyFont="1" applyFill="1" applyBorder="1" applyProtection="1">
      <protection hidden="1"/>
    </xf>
    <xf numFmtId="0" fontId="11" fillId="39" borderId="2" xfId="0" applyFont="1" applyFill="1" applyBorder="1" applyAlignment="1" applyProtection="1">
      <alignment wrapText="1"/>
      <protection hidden="1"/>
    </xf>
    <xf numFmtId="0" fontId="13" fillId="39" borderId="2" xfId="0" applyFont="1" applyFill="1" applyBorder="1" applyProtection="1">
      <protection hidden="1"/>
    </xf>
    <xf numFmtId="0" fontId="11" fillId="39" borderId="14" xfId="0" applyFont="1" applyFill="1" applyBorder="1" applyAlignment="1" applyProtection="1">
      <alignment horizontal="left" vertical="center"/>
      <protection hidden="1"/>
    </xf>
    <xf numFmtId="0" fontId="11" fillId="39" borderId="9" xfId="0" applyFont="1" applyFill="1" applyBorder="1" applyAlignment="1" applyProtection="1">
      <alignment horizontal="left" vertical="center"/>
      <protection hidden="1"/>
    </xf>
    <xf numFmtId="0" fontId="11" fillId="39" borderId="15" xfId="0" applyFont="1" applyFill="1" applyBorder="1" applyAlignment="1" applyProtection="1">
      <alignment horizontal="left" vertical="center"/>
      <protection hidden="1"/>
    </xf>
    <xf numFmtId="0" fontId="3" fillId="39" borderId="62" xfId="0" applyFont="1" applyFill="1" applyBorder="1" applyAlignment="1" applyProtection="1">
      <alignment horizontal="center" vertical="top" wrapText="1"/>
      <protection hidden="1"/>
    </xf>
    <xf numFmtId="0" fontId="3" fillId="39" borderId="63" xfId="0" applyFont="1" applyFill="1" applyBorder="1" applyAlignment="1" applyProtection="1">
      <alignment horizontal="center" vertical="top" wrapText="1"/>
      <protection hidden="1"/>
    </xf>
    <xf numFmtId="0" fontId="3" fillId="39" borderId="64" xfId="0" applyFont="1" applyFill="1" applyBorder="1" applyAlignment="1" applyProtection="1">
      <alignment horizontal="center" vertical="top" wrapText="1"/>
      <protection hidden="1"/>
    </xf>
    <xf numFmtId="0" fontId="2" fillId="30" borderId="4" xfId="0" applyFont="1" applyFill="1" applyBorder="1" applyAlignment="1" applyProtection="1">
      <alignment horizontal="center"/>
      <protection locked="0"/>
    </xf>
    <xf numFmtId="2" fontId="3" fillId="40" borderId="14" xfId="0" applyNumberFormat="1" applyFont="1" applyFill="1" applyBorder="1" applyAlignment="1" applyProtection="1">
      <alignment horizontal="right"/>
      <protection hidden="1"/>
    </xf>
    <xf numFmtId="2" fontId="3" fillId="40" borderId="15" xfId="0" applyNumberFormat="1" applyFont="1" applyFill="1" applyBorder="1" applyAlignment="1" applyProtection="1">
      <alignment horizontal="right"/>
      <protection hidden="1"/>
    </xf>
    <xf numFmtId="0" fontId="2" fillId="39" borderId="14" xfId="7" applyFont="1" applyFill="1" applyBorder="1" applyAlignment="1" applyProtection="1">
      <alignment horizontal="left"/>
      <protection locked="0"/>
    </xf>
    <xf numFmtId="0" fontId="2" fillId="39" borderId="9" xfId="7" applyFont="1" applyFill="1" applyBorder="1" applyAlignment="1" applyProtection="1">
      <alignment horizontal="left"/>
      <protection locked="0"/>
    </xf>
    <xf numFmtId="0" fontId="2" fillId="39" borderId="15" xfId="7" applyFont="1" applyFill="1" applyBorder="1" applyAlignment="1" applyProtection="1">
      <alignment horizontal="left"/>
      <protection locked="0"/>
    </xf>
    <xf numFmtId="0" fontId="4" fillId="40" borderId="2" xfId="0" applyFont="1" applyFill="1" applyBorder="1" applyAlignment="1" applyProtection="1">
      <alignment wrapText="1"/>
      <protection locked="0"/>
    </xf>
    <xf numFmtId="2" fontId="4" fillId="40" borderId="2" xfId="0" applyNumberFormat="1" applyFont="1" applyFill="1" applyBorder="1" applyProtection="1">
      <protection locked="0"/>
    </xf>
    <xf numFmtId="168" fontId="3" fillId="40" borderId="2" xfId="0" applyNumberFormat="1" applyFont="1" applyFill="1" applyBorder="1" applyAlignment="1" applyProtection="1">
      <alignment vertical="top" wrapText="1"/>
      <protection locked="0"/>
    </xf>
    <xf numFmtId="0" fontId="3" fillId="40" borderId="2" xfId="0" applyFont="1" applyFill="1" applyBorder="1" applyProtection="1">
      <protection locked="0"/>
    </xf>
    <xf numFmtId="164" fontId="2" fillId="40" borderId="2" xfId="1" applyNumberFormat="1" applyFont="1" applyFill="1" applyBorder="1" applyAlignment="1" applyProtection="1">
      <protection hidden="1"/>
    </xf>
    <xf numFmtId="164" fontId="3" fillId="40" borderId="2" xfId="0" applyNumberFormat="1" applyFont="1" applyFill="1" applyBorder="1" applyAlignment="1" applyProtection="1">
      <protection hidden="1"/>
    </xf>
    <xf numFmtId="0" fontId="3" fillId="39" borderId="70" xfId="0" applyFont="1" applyFill="1" applyBorder="1" applyAlignment="1" applyProtection="1">
      <alignment vertical="top" wrapText="1"/>
      <protection hidden="1"/>
    </xf>
    <xf numFmtId="0" fontId="3" fillId="39" borderId="71" xfId="0" applyFont="1" applyFill="1" applyBorder="1" applyAlignment="1" applyProtection="1">
      <alignment vertical="top" wrapText="1"/>
      <protection hidden="1"/>
    </xf>
    <xf numFmtId="0" fontId="3" fillId="39" borderId="72" xfId="0" applyFont="1" applyFill="1" applyBorder="1" applyAlignment="1" applyProtection="1">
      <alignment vertical="top" wrapText="1"/>
      <protection hidden="1"/>
    </xf>
    <xf numFmtId="0" fontId="3" fillId="39" borderId="23" xfId="0" applyFont="1" applyFill="1" applyBorder="1" applyAlignment="1" applyProtection="1">
      <alignment horizontal="left" vertical="top" wrapText="1"/>
      <protection hidden="1"/>
    </xf>
    <xf numFmtId="0" fontId="3" fillId="39" borderId="39" xfId="0" applyFont="1" applyFill="1" applyBorder="1" applyAlignment="1" applyProtection="1">
      <alignment horizontal="left" vertical="top" wrapText="1"/>
      <protection hidden="1"/>
    </xf>
    <xf numFmtId="0" fontId="3" fillId="39" borderId="37" xfId="0" applyFont="1" applyFill="1" applyBorder="1" applyAlignment="1" applyProtection="1">
      <alignment horizontal="left" vertical="top" wrapText="1"/>
      <protection hidden="1"/>
    </xf>
    <xf numFmtId="0" fontId="3" fillId="39" borderId="70" xfId="0" applyFont="1" applyFill="1" applyBorder="1" applyAlignment="1" applyProtection="1">
      <alignment horizontal="left" vertical="top" wrapText="1"/>
      <protection hidden="1"/>
    </xf>
    <xf numFmtId="0" fontId="3" fillId="39" borderId="71" xfId="0" applyFont="1" applyFill="1" applyBorder="1" applyAlignment="1" applyProtection="1">
      <alignment horizontal="left" vertical="top" wrapText="1"/>
      <protection hidden="1"/>
    </xf>
    <xf numFmtId="0" fontId="3" fillId="39" borderId="72" xfId="0" applyFont="1" applyFill="1" applyBorder="1" applyAlignment="1" applyProtection="1">
      <alignment horizontal="left" vertical="top" wrapText="1"/>
      <protection hidden="1"/>
    </xf>
    <xf numFmtId="2" fontId="3" fillId="40" borderId="14" xfId="1" applyNumberFormat="1" applyFont="1" applyFill="1" applyBorder="1" applyAlignment="1" applyProtection="1">
      <alignment horizontal="right"/>
      <protection hidden="1"/>
    </xf>
    <xf numFmtId="2" fontId="3" fillId="40" borderId="15" xfId="1" applyNumberFormat="1" applyFont="1" applyFill="1" applyBorder="1" applyAlignment="1" applyProtection="1">
      <alignment horizontal="right"/>
      <protection hidden="1"/>
    </xf>
    <xf numFmtId="0" fontId="2" fillId="39" borderId="2" xfId="7" applyFont="1" applyFill="1" applyBorder="1" applyAlignment="1" applyProtection="1">
      <alignment vertical="top" wrapText="1"/>
      <protection locked="0"/>
    </xf>
    <xf numFmtId="0" fontId="0" fillId="38" borderId="4" xfId="0" applyFill="1" applyBorder="1" applyAlignment="1" applyProtection="1">
      <alignment horizontal="center"/>
      <protection locked="0"/>
    </xf>
    <xf numFmtId="0" fontId="2" fillId="11" borderId="2"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protection locked="0"/>
    </xf>
    <xf numFmtId="0" fontId="2" fillId="11" borderId="2" xfId="0" applyFont="1" applyFill="1" applyBorder="1" applyAlignment="1" applyProtection="1">
      <alignment horizontal="center" vertical="center"/>
      <protection locked="0"/>
    </xf>
    <xf numFmtId="0" fontId="3" fillId="32" borderId="23" xfId="0" applyFont="1" applyFill="1" applyBorder="1" applyAlignment="1" applyProtection="1">
      <alignment horizontal="left" vertical="top" wrapText="1"/>
      <protection hidden="1"/>
    </xf>
    <xf numFmtId="0" fontId="3" fillId="32" borderId="39" xfId="0" applyFont="1" applyFill="1" applyBorder="1" applyAlignment="1" applyProtection="1">
      <alignment horizontal="left" vertical="top" wrapText="1"/>
      <protection hidden="1"/>
    </xf>
    <xf numFmtId="0" fontId="3" fillId="32" borderId="37" xfId="0" applyFont="1" applyFill="1" applyBorder="1" applyAlignment="1" applyProtection="1">
      <alignment horizontal="left" vertical="top" wrapText="1"/>
      <protection hidden="1"/>
    </xf>
    <xf numFmtId="0" fontId="2" fillId="39" borderId="62" xfId="0" applyFont="1" applyFill="1" applyBorder="1" applyAlignment="1" applyProtection="1">
      <alignment horizontal="center" vertical="top" wrapText="1"/>
      <protection hidden="1"/>
    </xf>
    <xf numFmtId="0" fontId="2" fillId="39" borderId="63" xfId="0" applyFont="1" applyFill="1" applyBorder="1" applyAlignment="1" applyProtection="1">
      <alignment horizontal="center" vertical="top" wrapText="1"/>
      <protection hidden="1"/>
    </xf>
    <xf numFmtId="0" fontId="2" fillId="39" borderId="64" xfId="0" applyFont="1" applyFill="1" applyBorder="1" applyAlignment="1" applyProtection="1">
      <alignment horizontal="center" vertical="top" wrapText="1"/>
      <protection hidden="1"/>
    </xf>
    <xf numFmtId="166" fontId="2" fillId="40" borderId="2" xfId="1" applyNumberFormat="1" applyFont="1" applyFill="1" applyBorder="1" applyAlignment="1" applyProtection="1">
      <alignment horizontal="center"/>
      <protection hidden="1"/>
    </xf>
    <xf numFmtId="177" fontId="3" fillId="40" borderId="5" xfId="1" applyNumberFormat="1" applyFont="1" applyFill="1" applyBorder="1" applyAlignment="1" applyProtection="1">
      <alignment horizontal="center"/>
      <protection hidden="1"/>
    </xf>
    <xf numFmtId="177" fontId="3" fillId="40" borderId="6" xfId="1" applyNumberFormat="1" applyFont="1" applyFill="1" applyBorder="1" applyAlignment="1" applyProtection="1">
      <alignment horizontal="center"/>
      <protection hidden="1"/>
    </xf>
    <xf numFmtId="177" fontId="3" fillId="40" borderId="10" xfId="1" applyNumberFormat="1" applyFont="1" applyFill="1" applyBorder="1" applyAlignment="1" applyProtection="1">
      <alignment horizontal="center"/>
      <protection hidden="1"/>
    </xf>
    <xf numFmtId="177" fontId="3" fillId="40" borderId="45" xfId="1" applyNumberFormat="1" applyFont="1" applyFill="1" applyBorder="1" applyAlignment="1" applyProtection="1">
      <alignment horizontal="center"/>
      <protection hidden="1"/>
    </xf>
    <xf numFmtId="177" fontId="3" fillId="40" borderId="12" xfId="1" applyNumberFormat="1" applyFont="1" applyFill="1" applyBorder="1" applyAlignment="1" applyProtection="1">
      <alignment horizontal="center"/>
      <protection hidden="1"/>
    </xf>
    <xf numFmtId="177" fontId="3" fillId="40" borderId="13" xfId="1" applyNumberFormat="1" applyFont="1" applyFill="1" applyBorder="1" applyAlignment="1" applyProtection="1">
      <alignment horizontal="center"/>
      <protection hidden="1"/>
    </xf>
    <xf numFmtId="0" fontId="3" fillId="40" borderId="2" xfId="1" applyFont="1" applyFill="1" applyBorder="1" applyAlignment="1" applyProtection="1">
      <alignment horizontal="center" vertical="center" wrapText="1"/>
      <protection hidden="1"/>
    </xf>
    <xf numFmtId="166" fontId="3" fillId="38" borderId="2" xfId="0" applyNumberFormat="1" applyFont="1" applyFill="1" applyBorder="1" applyAlignment="1" applyProtection="1">
      <alignment horizontal="center"/>
      <protection hidden="1"/>
    </xf>
    <xf numFmtId="166" fontId="3" fillId="40" borderId="2" xfId="1" applyNumberFormat="1" applyFont="1" applyFill="1" applyBorder="1" applyAlignment="1" applyProtection="1">
      <alignment horizontal="center"/>
      <protection hidden="1"/>
    </xf>
    <xf numFmtId="0" fontId="2" fillId="31" borderId="41" xfId="0" applyFont="1" applyFill="1" applyBorder="1" applyAlignment="1" applyProtection="1">
      <alignment horizontal="left" vertical="center"/>
      <protection hidden="1"/>
    </xf>
    <xf numFmtId="0" fontId="2" fillId="31" borderId="42" xfId="0" applyFont="1" applyFill="1" applyBorder="1" applyAlignment="1" applyProtection="1">
      <alignment horizontal="left" vertical="center"/>
      <protection hidden="1"/>
    </xf>
    <xf numFmtId="0" fontId="2" fillId="31" borderId="0" xfId="0" applyFont="1" applyFill="1" applyBorder="1" applyAlignment="1" applyProtection="1">
      <alignment horizontal="left" vertical="center"/>
      <protection hidden="1"/>
    </xf>
    <xf numFmtId="0" fontId="2" fillId="31" borderId="43" xfId="0" applyFont="1" applyFill="1" applyBorder="1" applyAlignment="1" applyProtection="1">
      <alignment horizontal="left" vertical="center"/>
      <protection hidden="1"/>
    </xf>
    <xf numFmtId="0" fontId="2" fillId="40" borderId="2" xfId="0" applyFont="1" applyFill="1" applyBorder="1" applyProtection="1">
      <protection locked="0"/>
    </xf>
    <xf numFmtId="0" fontId="2" fillId="40" borderId="14" xfId="0" applyFont="1" applyFill="1" applyBorder="1" applyProtection="1">
      <protection locked="0"/>
    </xf>
    <xf numFmtId="0" fontId="2" fillId="40" borderId="9" xfId="0" applyFont="1" applyFill="1" applyBorder="1" applyProtection="1">
      <protection locked="0"/>
    </xf>
    <xf numFmtId="0" fontId="2" fillId="40" borderId="15" xfId="0" applyFont="1" applyFill="1" applyBorder="1" applyProtection="1">
      <protection locked="0"/>
    </xf>
    <xf numFmtId="0" fontId="3" fillId="40" borderId="14" xfId="0" applyFont="1" applyFill="1" applyBorder="1" applyAlignment="1" applyProtection="1">
      <alignment horizontal="left"/>
      <protection locked="0"/>
    </xf>
    <xf numFmtId="0" fontId="3" fillId="40" borderId="15" xfId="0" applyFont="1" applyFill="1" applyBorder="1" applyAlignment="1" applyProtection="1">
      <alignment horizontal="left"/>
      <protection locked="0"/>
    </xf>
    <xf numFmtId="164" fontId="2" fillId="40" borderId="2" xfId="0" applyNumberFormat="1" applyFont="1" applyFill="1" applyBorder="1" applyAlignment="1" applyProtection="1">
      <protection hidden="1"/>
    </xf>
    <xf numFmtId="0" fontId="2" fillId="40" borderId="2" xfId="0" applyNumberFormat="1" applyFont="1" applyFill="1" applyBorder="1" applyAlignment="1" applyProtection="1">
      <alignment horizontal="right"/>
      <protection hidden="1"/>
    </xf>
    <xf numFmtId="0" fontId="8" fillId="0" borderId="0" xfId="0" applyFont="1" applyFill="1" applyBorder="1" applyAlignment="1" applyProtection="1">
      <alignment horizontal="center"/>
      <protection locked="0"/>
    </xf>
    <xf numFmtId="0" fontId="10" fillId="0" borderId="0" xfId="0" applyFont="1" applyFill="1" applyBorder="1" applyAlignment="1" applyProtection="1">
      <alignment horizontal="center"/>
      <protection locked="0"/>
    </xf>
    <xf numFmtId="0" fontId="3" fillId="40" borderId="2" xfId="0" applyFont="1" applyFill="1" applyBorder="1" applyAlignment="1" applyProtection="1">
      <alignment vertical="top" wrapText="1"/>
      <protection locked="0"/>
    </xf>
    <xf numFmtId="0" fontId="3" fillId="40" borderId="2" xfId="0" applyFont="1" applyFill="1" applyBorder="1" applyAlignment="1" applyProtection="1">
      <alignment wrapText="1"/>
      <protection locked="0"/>
    </xf>
    <xf numFmtId="2" fontId="3" fillId="40" borderId="2" xfId="0" applyNumberFormat="1" applyFont="1" applyFill="1" applyBorder="1" applyAlignment="1" applyProtection="1">
      <alignment vertical="top" wrapText="1"/>
      <protection locked="0"/>
    </xf>
    <xf numFmtId="2" fontId="3" fillId="40" borderId="2" xfId="1" applyNumberFormat="1" applyFont="1" applyFill="1" applyBorder="1" applyAlignment="1" applyProtection="1">
      <protection hidden="1"/>
    </xf>
    <xf numFmtId="164" fontId="3" fillId="40" borderId="14" xfId="0" applyNumberFormat="1" applyFont="1" applyFill="1" applyBorder="1" applyAlignment="1" applyProtection="1">
      <alignment horizontal="right"/>
      <protection hidden="1"/>
    </xf>
    <xf numFmtId="164" fontId="3" fillId="40" borderId="9" xfId="0" applyNumberFormat="1" applyFont="1" applyFill="1" applyBorder="1" applyAlignment="1" applyProtection="1">
      <alignment horizontal="right"/>
      <protection hidden="1"/>
    </xf>
    <xf numFmtId="164" fontId="3" fillId="40" borderId="15" xfId="0" applyNumberFormat="1" applyFont="1" applyFill="1" applyBorder="1" applyAlignment="1" applyProtection="1">
      <alignment horizontal="right"/>
      <protection hidden="1"/>
    </xf>
    <xf numFmtId="0" fontId="3" fillId="40" borderId="14" xfId="0" applyFont="1" applyFill="1" applyBorder="1" applyAlignment="1" applyProtection="1">
      <alignment horizontal="right"/>
      <protection hidden="1"/>
    </xf>
    <xf numFmtId="0" fontId="3" fillId="40" borderId="9" xfId="0" applyFont="1" applyFill="1" applyBorder="1" applyAlignment="1" applyProtection="1">
      <alignment horizontal="right"/>
      <protection hidden="1"/>
    </xf>
    <xf numFmtId="0" fontId="3" fillId="40" borderId="15" xfId="0" applyFont="1" applyFill="1" applyBorder="1" applyAlignment="1" applyProtection="1">
      <alignment horizontal="right"/>
      <protection hidden="1"/>
    </xf>
    <xf numFmtId="1" fontId="3" fillId="40" borderId="14" xfId="0" applyNumberFormat="1" applyFont="1" applyFill="1" applyBorder="1" applyAlignment="1" applyProtection="1">
      <alignment horizontal="right"/>
      <protection locked="0" hidden="1"/>
    </xf>
    <xf numFmtId="1" fontId="3" fillId="40" borderId="9" xfId="0" applyNumberFormat="1" applyFont="1" applyFill="1" applyBorder="1" applyAlignment="1" applyProtection="1">
      <alignment horizontal="right"/>
      <protection locked="0" hidden="1"/>
    </xf>
    <xf numFmtId="1" fontId="3" fillId="40" borderId="15" xfId="0" applyNumberFormat="1" applyFont="1" applyFill="1" applyBorder="1" applyAlignment="1" applyProtection="1">
      <alignment horizontal="right"/>
      <protection locked="0" hidden="1"/>
    </xf>
    <xf numFmtId="0" fontId="3" fillId="40" borderId="14" xfId="0" applyFont="1" applyFill="1" applyBorder="1" applyAlignment="1" applyProtection="1">
      <alignment horizontal="right"/>
      <protection locked="0" hidden="1"/>
    </xf>
    <xf numFmtId="0" fontId="3" fillId="40" borderId="9" xfId="0" applyFont="1" applyFill="1" applyBorder="1" applyAlignment="1" applyProtection="1">
      <alignment horizontal="right"/>
      <protection locked="0" hidden="1"/>
    </xf>
    <xf numFmtId="0" fontId="3" fillId="40" borderId="15" xfId="0" applyFont="1" applyFill="1" applyBorder="1" applyAlignment="1" applyProtection="1">
      <alignment horizontal="right"/>
      <protection locked="0" hidden="1"/>
    </xf>
    <xf numFmtId="0" fontId="2" fillId="40" borderId="14" xfId="0" applyFont="1" applyFill="1" applyBorder="1" applyAlignment="1" applyProtection="1">
      <alignment horizontal="left"/>
      <protection hidden="1"/>
    </xf>
    <xf numFmtId="0" fontId="2" fillId="40" borderId="15" xfId="0" applyFont="1" applyFill="1" applyBorder="1" applyAlignment="1" applyProtection="1">
      <alignment horizontal="left"/>
      <protection hidden="1"/>
    </xf>
    <xf numFmtId="0" fontId="2" fillId="40" borderId="14" xfId="1" applyFont="1" applyFill="1" applyBorder="1" applyAlignment="1" applyProtection="1">
      <alignment horizontal="left"/>
      <protection hidden="1"/>
    </xf>
    <xf numFmtId="0" fontId="2" fillId="40" borderId="9" xfId="1" applyFont="1" applyFill="1" applyBorder="1" applyAlignment="1" applyProtection="1">
      <alignment horizontal="left"/>
      <protection hidden="1"/>
    </xf>
    <xf numFmtId="0" fontId="2" fillId="40" borderId="15" xfId="1" applyFont="1" applyFill="1" applyBorder="1" applyAlignment="1" applyProtection="1">
      <alignment horizontal="left"/>
      <protection hidden="1"/>
    </xf>
    <xf numFmtId="2" fontId="3" fillId="40" borderId="14" xfId="0" applyNumberFormat="1" applyFont="1" applyFill="1" applyBorder="1" applyAlignment="1" applyProtection="1">
      <alignment horizontal="left" vertical="top" wrapText="1"/>
      <protection locked="0"/>
    </xf>
    <xf numFmtId="2" fontId="3" fillId="40" borderId="15" xfId="0" applyNumberFormat="1" applyFont="1" applyFill="1" applyBorder="1" applyAlignment="1" applyProtection="1">
      <alignment horizontal="left" vertical="top" wrapText="1"/>
      <protection locked="0"/>
    </xf>
    <xf numFmtId="2" fontId="3" fillId="40" borderId="2" xfId="0" applyNumberFormat="1" applyFont="1" applyFill="1" applyBorder="1" applyAlignment="1" applyProtection="1">
      <protection hidden="1"/>
    </xf>
    <xf numFmtId="0" fontId="3" fillId="40" borderId="14" xfId="0" applyFont="1" applyFill="1" applyBorder="1" applyAlignment="1" applyProtection="1">
      <alignment horizontal="left" wrapText="1"/>
      <protection locked="0"/>
    </xf>
    <xf numFmtId="0" fontId="3" fillId="40" borderId="15" xfId="0" applyFont="1" applyFill="1" applyBorder="1" applyAlignment="1" applyProtection="1">
      <alignment horizontal="left" wrapText="1"/>
      <protection locked="0"/>
    </xf>
    <xf numFmtId="2" fontId="4" fillId="40" borderId="14" xfId="0" applyNumberFormat="1" applyFont="1" applyFill="1" applyBorder="1" applyAlignment="1" applyProtection="1">
      <alignment horizontal="left"/>
      <protection locked="0"/>
    </xf>
    <xf numFmtId="2" fontId="4" fillId="40" borderId="15" xfId="0" applyNumberFormat="1" applyFont="1" applyFill="1" applyBorder="1" applyAlignment="1" applyProtection="1">
      <alignment horizontal="left"/>
      <protection locked="0"/>
    </xf>
    <xf numFmtId="0" fontId="3" fillId="41" borderId="7" xfId="0" applyFont="1" applyFill="1" applyBorder="1" applyAlignment="1" applyProtection="1">
      <alignment horizontal="left" wrapText="1"/>
      <protection hidden="1"/>
    </xf>
    <xf numFmtId="0" fontId="3" fillId="41" borderId="26" xfId="0" applyFont="1" applyFill="1" applyBorder="1" applyAlignment="1" applyProtection="1">
      <alignment horizontal="left" wrapText="1"/>
      <protection hidden="1"/>
    </xf>
    <xf numFmtId="0" fontId="3" fillId="40" borderId="2" xfId="0" applyFont="1" applyFill="1" applyBorder="1" applyAlignment="1" applyProtection="1">
      <alignment vertical="top"/>
      <protection locked="0"/>
    </xf>
    <xf numFmtId="0" fontId="3" fillId="41" borderId="21" xfId="0" applyFont="1" applyFill="1" applyBorder="1" applyAlignment="1" applyProtection="1">
      <alignment horizontal="left" wrapText="1"/>
      <protection hidden="1"/>
    </xf>
    <xf numFmtId="0" fontId="3" fillId="41" borderId="36" xfId="0" applyFont="1" applyFill="1" applyBorder="1" applyAlignment="1" applyProtection="1">
      <alignment horizontal="left" wrapText="1"/>
      <protection hidden="1"/>
    </xf>
    <xf numFmtId="49" fontId="2" fillId="39" borderId="73" xfId="7" applyNumberFormat="1" applyFont="1" applyFill="1" applyBorder="1" applyAlignment="1" applyProtection="1">
      <alignment horizontal="left" vertical="center"/>
      <protection hidden="1"/>
    </xf>
    <xf numFmtId="49" fontId="2" fillId="39" borderId="4" xfId="7" applyNumberFormat="1" applyFont="1" applyFill="1" applyBorder="1" applyAlignment="1" applyProtection="1">
      <alignment horizontal="left" vertical="center"/>
      <protection hidden="1"/>
    </xf>
    <xf numFmtId="0" fontId="3" fillId="32" borderId="23" xfId="0" applyNumberFormat="1" applyFont="1" applyFill="1" applyBorder="1" applyAlignment="1" applyProtection="1">
      <alignment horizontal="center" vertical="top" wrapText="1"/>
      <protection locked="0"/>
    </xf>
    <xf numFmtId="0" fontId="3" fillId="32" borderId="39" xfId="0" applyNumberFormat="1" applyFont="1" applyFill="1" applyBorder="1" applyAlignment="1" applyProtection="1">
      <alignment horizontal="center" vertical="top" wrapText="1"/>
      <protection locked="0"/>
    </xf>
    <xf numFmtId="0" fontId="3" fillId="32" borderId="37" xfId="0" applyNumberFormat="1" applyFont="1" applyFill="1" applyBorder="1" applyAlignment="1" applyProtection="1">
      <alignment horizontal="center" vertical="top" wrapText="1"/>
      <protection locked="0"/>
    </xf>
    <xf numFmtId="0" fontId="2" fillId="39" borderId="2" xfId="0" applyFont="1" applyFill="1" applyBorder="1" applyAlignment="1" applyProtection="1">
      <alignment horizontal="center" vertical="top" wrapText="1"/>
      <protection hidden="1"/>
    </xf>
    <xf numFmtId="0" fontId="3" fillId="40" borderId="14" xfId="1" applyFont="1" applyFill="1" applyBorder="1" applyAlignment="1" applyProtection="1">
      <alignment horizontal="center"/>
      <protection locked="0"/>
    </xf>
    <xf numFmtId="0" fontId="3" fillId="40" borderId="9" xfId="1" applyFont="1" applyFill="1" applyBorder="1" applyAlignment="1" applyProtection="1">
      <alignment horizontal="center"/>
      <protection locked="0"/>
    </xf>
    <xf numFmtId="0" fontId="3" fillId="40" borderId="15" xfId="1" applyFont="1" applyFill="1" applyBorder="1" applyAlignment="1" applyProtection="1">
      <alignment horizontal="center"/>
      <protection locked="0"/>
    </xf>
    <xf numFmtId="0" fontId="2" fillId="39" borderId="14" xfId="7" applyFont="1" applyFill="1" applyBorder="1" applyAlignment="1" applyProtection="1">
      <alignment horizontal="left" vertical="center" wrapText="1"/>
      <protection locked="0"/>
    </xf>
    <xf numFmtId="0" fontId="2" fillId="39" borderId="15" xfId="7" applyFont="1" applyFill="1" applyBorder="1" applyAlignment="1" applyProtection="1">
      <alignment horizontal="left" vertical="center" wrapText="1"/>
      <protection locked="0"/>
    </xf>
    <xf numFmtId="0" fontId="3" fillId="39" borderId="2" xfId="0" applyFont="1" applyFill="1" applyBorder="1" applyAlignment="1" applyProtection="1">
      <alignment horizontal="center" vertical="top" wrapText="1"/>
      <protection hidden="1"/>
    </xf>
    <xf numFmtId="0" fontId="0" fillId="15" borderId="0" xfId="0" applyFill="1" applyAlignment="1">
      <alignment horizontal="left" vertical="center" wrapText="1" shrinkToFit="1"/>
    </xf>
    <xf numFmtId="0" fontId="0" fillId="15" borderId="0" xfId="0" applyFill="1" applyAlignment="1">
      <alignment horizontal="center"/>
    </xf>
    <xf numFmtId="0" fontId="0" fillId="15" borderId="0" xfId="0" applyFill="1" applyAlignment="1">
      <alignment horizontal="center" wrapText="1"/>
    </xf>
    <xf numFmtId="173" fontId="0" fillId="0" borderId="0" xfId="0" applyNumberFormat="1" applyAlignment="1">
      <alignment horizontal="center"/>
    </xf>
    <xf numFmtId="0" fontId="0" fillId="15" borderId="0" xfId="0" applyFill="1" applyAlignment="1">
      <alignment horizontal="center" vertical="center" wrapText="1" shrinkToFit="1"/>
    </xf>
    <xf numFmtId="0" fontId="0" fillId="0" borderId="0" xfId="0" applyFont="1" applyBorder="1" applyProtection="1">
      <protection hidden="1"/>
    </xf>
    <xf numFmtId="0" fontId="0" fillId="0" borderId="0" xfId="0" applyFont="1" applyAlignment="1" applyProtection="1">
      <alignment horizontal="center"/>
      <protection hidden="1"/>
    </xf>
    <xf numFmtId="0" fontId="0" fillId="0" borderId="0" xfId="0" applyProtection="1">
      <protection hidden="1"/>
    </xf>
    <xf numFmtId="164" fontId="11" fillId="38" borderId="60" xfId="0" applyNumberFormat="1" applyFont="1" applyFill="1" applyBorder="1" applyAlignment="1" applyProtection="1">
      <alignment horizontal="center" vertical="center"/>
      <protection hidden="1"/>
    </xf>
  </cellXfs>
  <cellStyles count="15">
    <cellStyle name="Automatische Zellen Grau10" xfId="1"/>
    <cellStyle name="Euro" xfId="2"/>
    <cellStyle name="Hyperlink" xfId="13" builtinId="8"/>
    <cellStyle name="rot" xfId="3"/>
    <cellStyle name="rot 1" xfId="4"/>
    <cellStyle name="Schwarz" xfId="5"/>
    <cellStyle name="Schwarz 1" xfId="6"/>
    <cellStyle name="Standard" xfId="0" builtinId="0"/>
    <cellStyle name="Standard 2" xfId="14"/>
    <cellStyle name="Tebellenüberschrift_Grau20" xfId="7"/>
    <cellStyle name="Überschrift grau30" xfId="8"/>
    <cellStyle name="Währung" xfId="9" builtinId="4"/>
    <cellStyle name="Weiß" xfId="10"/>
    <cellStyle name="Weiß 1" xfId="11"/>
    <cellStyle name="Weiß_Spielgeld" xfId="12"/>
  </cellStyles>
  <dxfs count="99">
    <dxf>
      <fill>
        <patternFill>
          <bgColor theme="1"/>
        </patternFill>
      </fill>
    </dxf>
    <dxf>
      <fill>
        <patternFill>
          <bgColor theme="1" tint="0.14996795556505021"/>
        </patternFill>
      </fill>
    </dxf>
    <dxf>
      <fill>
        <patternFill>
          <bgColor theme="1" tint="0.14996795556505021"/>
        </patternFill>
      </fill>
    </dxf>
    <dxf>
      <fill>
        <patternFill>
          <bgColor theme="1"/>
        </patternFill>
      </fill>
    </dxf>
    <dxf>
      <fill>
        <patternFill>
          <bgColor theme="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patternFill>
      </fill>
    </dxf>
    <dxf>
      <fill>
        <patternFill>
          <bgColor theme="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patternFill>
      </fill>
    </dxf>
    <dxf>
      <fill>
        <patternFill>
          <bgColor theme="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1"/>
        </patternFill>
      </fill>
    </dxf>
    <dxf>
      <fill>
        <patternFill>
          <bgColor theme="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993366"/>
      <rgbColor rgb="00FFFFCC"/>
      <rgbColor rgb="00CCFFFF"/>
      <rgbColor rgb="00660066"/>
      <rgbColor rgb="00FF8080"/>
      <rgbColor rgb="000066CC"/>
      <rgbColor rgb="00B3B3B3"/>
      <rgbColor rgb="00000080"/>
      <rgbColor rgb="00FF00FF"/>
      <rgbColor rgb="00FFFF00"/>
      <rgbColor rgb="0000FFFF"/>
      <rgbColor rgb="00800080"/>
      <rgbColor rgb="00800000"/>
      <rgbColor rgb="00008080"/>
      <rgbColor rgb="000000FF"/>
      <rgbColor rgb="0000CCFF"/>
      <rgbColor rgb="00E6E6E6"/>
      <rgbColor rgb="00CCFFCC"/>
      <rgbColor rgb="00FFFF99"/>
      <rgbColor rgb="0099CCFF"/>
      <rgbColor rgb="00FF99CC"/>
      <rgbColor rgb="00CC99FF"/>
      <rgbColor rgb="00FFCC99"/>
      <rgbColor rgb="003366FF"/>
      <rgbColor rgb="0023B8DC"/>
      <rgbColor rgb="0099CC00"/>
      <rgbColor rgb="00FFCC00"/>
      <rgbColor rgb="00FF9900"/>
      <rgbColor rgb="00FF3333"/>
      <rgbColor rgb="00666699"/>
      <rgbColor rgb="00B2B2B2"/>
      <rgbColor rgb="00003366"/>
      <rgbColor rgb="00339966"/>
      <rgbColor rgb="00003300"/>
      <rgbColor rgb="00333300"/>
      <rgbColor rgb="00993300"/>
      <rgbColor rgb="00993366"/>
      <rgbColor rgb="00333399"/>
      <rgbColor rgb="004C4C4C"/>
    </indexedColors>
    <mruColors>
      <color rgb="FFEAEAEA"/>
      <color rgb="FFEFEAEA"/>
      <color rgb="FFFFFF99"/>
      <color rgb="FFFFFF66"/>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12</xdr:col>
      <xdr:colOff>521759</xdr:colOff>
      <xdr:row>58</xdr:row>
      <xdr:rowOff>121709</xdr:rowOff>
    </xdr:from>
    <xdr:to>
      <xdr:col>13</xdr:col>
      <xdr:colOff>131234</xdr:colOff>
      <xdr:row>61</xdr:row>
      <xdr:rowOff>131234</xdr:rowOff>
    </xdr:to>
    <xdr:sp macro="" textlink="">
      <xdr:nvSpPr>
        <xdr:cNvPr id="70" name="Geschweifte Klammer rechts 69"/>
        <xdr:cNvSpPr/>
      </xdr:nvSpPr>
      <xdr:spPr bwMode="auto">
        <a:xfrm>
          <a:off x="9136592" y="13424959"/>
          <a:ext cx="371475" cy="60219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twoCellAnchor editAs="oneCell">
    <xdr:from>
      <xdr:col>0</xdr:col>
      <xdr:colOff>190501</xdr:colOff>
      <xdr:row>30</xdr:row>
      <xdr:rowOff>95250</xdr:rowOff>
    </xdr:from>
    <xdr:to>
      <xdr:col>13</xdr:col>
      <xdr:colOff>251349</xdr:colOff>
      <xdr:row>65</xdr:row>
      <xdr:rowOff>72368</xdr:rowOff>
    </xdr:to>
    <xdr:pic>
      <xdr:nvPicPr>
        <xdr:cNvPr id="19" name="Grafik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9227344"/>
          <a:ext cx="9431067" cy="6668431"/>
        </a:xfrm>
        <a:prstGeom prst="rect">
          <a:avLst/>
        </a:prstGeom>
      </xdr:spPr>
    </xdr:pic>
    <xdr:clientData/>
  </xdr:twoCellAnchor>
  <xdr:twoCellAnchor editAs="oneCell">
    <xdr:from>
      <xdr:col>1</xdr:col>
      <xdr:colOff>23812</xdr:colOff>
      <xdr:row>18</xdr:row>
      <xdr:rowOff>83343</xdr:rowOff>
    </xdr:from>
    <xdr:to>
      <xdr:col>17</xdr:col>
      <xdr:colOff>618666</xdr:colOff>
      <xdr:row>27</xdr:row>
      <xdr:rowOff>142874</xdr:rowOff>
    </xdr:to>
    <xdr:pic>
      <xdr:nvPicPr>
        <xdr:cNvPr id="20" name="Grafik 1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0031" y="6929437"/>
          <a:ext cx="12786854" cy="1774031"/>
        </a:xfrm>
        <a:prstGeom prst="rect">
          <a:avLst/>
        </a:prstGeom>
      </xdr:spPr>
    </xdr:pic>
    <xdr:clientData/>
  </xdr:twoCellAnchor>
  <xdr:twoCellAnchor editAs="oneCell">
    <xdr:from>
      <xdr:col>1</xdr:col>
      <xdr:colOff>0</xdr:colOff>
      <xdr:row>94</xdr:row>
      <xdr:rowOff>161925</xdr:rowOff>
    </xdr:from>
    <xdr:to>
      <xdr:col>17</xdr:col>
      <xdr:colOff>408275</xdr:colOff>
      <xdr:row>119</xdr:row>
      <xdr:rowOff>102394</xdr:rowOff>
    </xdr:to>
    <xdr:pic>
      <xdr:nvPicPr>
        <xdr:cNvPr id="4" name="Grafik 3"/>
        <xdr:cNvPicPr>
          <a:picLocks noChangeAspect="1"/>
        </xdr:cNvPicPr>
      </xdr:nvPicPr>
      <xdr:blipFill>
        <a:blip xmlns:r="http://schemas.openxmlformats.org/officeDocument/2006/relationships" r:embed="rId3"/>
        <a:stretch>
          <a:fillRect/>
        </a:stretch>
      </xdr:blipFill>
      <xdr:spPr>
        <a:xfrm>
          <a:off x="228600" y="24183975"/>
          <a:ext cx="12600275" cy="4712494"/>
        </a:xfrm>
        <a:prstGeom prst="rect">
          <a:avLst/>
        </a:prstGeom>
      </xdr:spPr>
    </xdr:pic>
    <xdr:clientData/>
  </xdr:twoCellAnchor>
  <xdr:twoCellAnchor editAs="oneCell">
    <xdr:from>
      <xdr:col>1</xdr:col>
      <xdr:colOff>28575</xdr:colOff>
      <xdr:row>86</xdr:row>
      <xdr:rowOff>114300</xdr:rowOff>
    </xdr:from>
    <xdr:to>
      <xdr:col>15</xdr:col>
      <xdr:colOff>170075</xdr:colOff>
      <xdr:row>92</xdr:row>
      <xdr:rowOff>66675</xdr:rowOff>
    </xdr:to>
    <xdr:pic>
      <xdr:nvPicPr>
        <xdr:cNvPr id="2" name="Grafik 1"/>
        <xdr:cNvPicPr>
          <a:picLocks noChangeAspect="1"/>
        </xdr:cNvPicPr>
      </xdr:nvPicPr>
      <xdr:blipFill rotWithShape="1">
        <a:blip xmlns:r="http://schemas.openxmlformats.org/officeDocument/2006/relationships" r:embed="rId4"/>
        <a:srcRect l="1816" t="15246" b="14623"/>
        <a:stretch/>
      </xdr:blipFill>
      <xdr:spPr>
        <a:xfrm>
          <a:off x="257175" y="22612350"/>
          <a:ext cx="10809500"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1214438</xdr:colOff>
      <xdr:row>12</xdr:row>
      <xdr:rowOff>321468</xdr:rowOff>
    </xdr:from>
    <xdr:to>
      <xdr:col>9</xdr:col>
      <xdr:colOff>35719</xdr:colOff>
      <xdr:row>27</xdr:row>
      <xdr:rowOff>77477</xdr:rowOff>
    </xdr:to>
    <xdr:sp macro="" textlink="">
      <xdr:nvSpPr>
        <xdr:cNvPr id="2" name="Rechteck 1"/>
        <xdr:cNvSpPr/>
      </xdr:nvSpPr>
      <xdr:spPr>
        <a:xfrm>
          <a:off x="11251407" y="2631281"/>
          <a:ext cx="3059906" cy="3661259"/>
        </a:xfrm>
        <a:prstGeom prst="rect">
          <a:avLst/>
        </a:prstGeom>
        <a:solidFill>
          <a:schemeClr val="accent1">
            <a:lumMod val="20000"/>
            <a:lumOff val="80000"/>
          </a:schemeClr>
        </a:solidFill>
        <a:ln>
          <a:solidFill>
            <a:schemeClr val="tx1"/>
          </a:solidFill>
        </a:ln>
      </xdr:spPr>
      <xdr:txBody>
        <a:bodyPr wrap="square">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100" b="1" u="sng">
              <a:latin typeface="Arial" panose="020B0604020202020204" pitchFamily="34" charset="0"/>
              <a:cs typeface="Arial" panose="020B0604020202020204" pitchFamily="34" charset="0"/>
            </a:rPr>
            <a:t>Einfrieren der Antragsdaten des Trägers</a:t>
          </a:r>
        </a:p>
        <a:p>
          <a:endParaRPr lang="de-DE" sz="1100">
            <a:latin typeface="Arial" panose="020B0604020202020204" pitchFamily="34" charset="0"/>
            <a:cs typeface="Arial" panose="020B0604020202020204" pitchFamily="34" charset="0"/>
          </a:endParaRPr>
        </a:p>
        <a:p>
          <a:r>
            <a:rPr lang="de-DE" sz="1100">
              <a:latin typeface="Arial" panose="020B0604020202020204" pitchFamily="34" charset="0"/>
              <a:cs typeface="Arial" panose="020B0604020202020204" pitchFamily="34" charset="0"/>
            </a:rPr>
            <a:t>Die Antragsdaten des Trägers werden an dieser Stelle für die Bescheiderstellung festgehalten. </a:t>
          </a:r>
        </a:p>
        <a:p>
          <a:endParaRPr lang="de-DE" sz="1100">
            <a:latin typeface="Arial" panose="020B0604020202020204" pitchFamily="34" charset="0"/>
            <a:cs typeface="Arial" panose="020B0604020202020204" pitchFamily="34" charset="0"/>
          </a:endParaRPr>
        </a:p>
        <a:p>
          <a:pPr marL="342900" indent="-342900">
            <a:buAutoNum type="arabicPeriod"/>
          </a:pPr>
          <a:r>
            <a:rPr lang="de-DE" sz="1100">
              <a:latin typeface="Arial" panose="020B0604020202020204" pitchFamily="34" charset="0"/>
              <a:cs typeface="Arial" panose="020B0604020202020204" pitchFamily="34" charset="0"/>
            </a:rPr>
            <a:t>Antrag als Arbeitsversion speichern.</a:t>
          </a:r>
        </a:p>
        <a:p>
          <a:pPr marL="342900" indent="-342900">
            <a:buAutoNum type="arabicPeriod"/>
          </a:pPr>
          <a:endParaRPr lang="de-DE" sz="1100">
            <a:latin typeface="Arial" panose="020B0604020202020204" pitchFamily="34" charset="0"/>
            <a:cs typeface="Arial" panose="020B0604020202020204" pitchFamily="34" charset="0"/>
          </a:endParaRPr>
        </a:p>
        <a:p>
          <a:pPr marL="342900" indent="-342900">
            <a:buAutoNum type="arabicPeriod"/>
          </a:pPr>
          <a:endParaRPr lang="de-DE" sz="1100">
            <a:latin typeface="Arial" panose="020B0604020202020204" pitchFamily="34" charset="0"/>
            <a:cs typeface="Arial" panose="020B0604020202020204" pitchFamily="34" charset="0"/>
          </a:endParaRPr>
        </a:p>
        <a:p>
          <a:pPr marL="342900" indent="-342900">
            <a:buAutoNum type="arabicPeriod"/>
          </a:pPr>
          <a:r>
            <a:rPr lang="de-DE" sz="1100">
              <a:latin typeface="Arial" panose="020B0604020202020204" pitchFamily="34" charset="0"/>
              <a:cs typeface="Arial" panose="020B0604020202020204" pitchFamily="34" charset="0"/>
            </a:rPr>
            <a:t>Zellen J31 - J49 markieren und  mit der rechten Maustaste kopieren.</a:t>
          </a:r>
        </a:p>
        <a:p>
          <a:pPr marL="342900" indent="-342900">
            <a:buAutoNum type="arabicPeriod"/>
          </a:pPr>
          <a:endParaRPr lang="de-DE" sz="1100">
            <a:latin typeface="Arial" panose="020B0604020202020204" pitchFamily="34" charset="0"/>
            <a:cs typeface="Arial" panose="020B0604020202020204" pitchFamily="34" charset="0"/>
          </a:endParaRPr>
        </a:p>
        <a:p>
          <a:pPr marL="342900" indent="-342900">
            <a:buAutoNum type="arabicPeriod"/>
          </a:pPr>
          <a:r>
            <a:rPr lang="de-DE" sz="1100">
              <a:latin typeface="Arial" panose="020B0604020202020204" pitchFamily="34" charset="0"/>
              <a:cs typeface="Arial" panose="020B0604020202020204" pitchFamily="34" charset="0"/>
            </a:rPr>
            <a:t>Rechte Maustaste drücken - Einfügeoptionen - Werte (zweite Option 123) anklicken. </a:t>
          </a:r>
        </a:p>
        <a:p>
          <a:pPr marL="342900" indent="-342900">
            <a:buAutoNum type="arabicPeriod"/>
          </a:pPr>
          <a:endParaRPr lang="de-DE" sz="1100">
            <a:latin typeface="Arial" panose="020B0604020202020204" pitchFamily="34" charset="0"/>
            <a:cs typeface="Arial" panose="020B0604020202020204" pitchFamily="34" charset="0"/>
          </a:endParaRPr>
        </a:p>
        <a:p>
          <a:pPr marL="342900" indent="-342900">
            <a:buAutoNum type="arabicPeriod"/>
          </a:pPr>
          <a:r>
            <a:rPr lang="de-DE" sz="1100">
              <a:latin typeface="Arial" panose="020B0604020202020204" pitchFamily="34" charset="0"/>
              <a:cs typeface="Arial" panose="020B0604020202020204" pitchFamily="34" charset="0"/>
            </a:rPr>
            <a:t>Vor dem Bearbeiten nochmal speichern.</a:t>
          </a:r>
        </a:p>
        <a:p>
          <a:pPr marL="342900" indent="-342900">
            <a:buAutoNum type="arabicPeriod"/>
          </a:pPr>
          <a:endParaRPr lang="de-DE" sz="1100">
            <a:latin typeface="Arial" panose="020B0604020202020204" pitchFamily="34" charset="0"/>
            <a:cs typeface="Arial" panose="020B0604020202020204" pitchFamily="34" charset="0"/>
          </a:endParaRPr>
        </a:p>
        <a:p>
          <a:pPr marL="342900" indent="-342900">
            <a:buAutoNum type="arabicPeriod"/>
          </a:pPr>
          <a:r>
            <a:rPr lang="de-DE" sz="1100">
              <a:latin typeface="Arial" panose="020B0604020202020204" pitchFamily="34" charset="0"/>
              <a:cs typeface="Arial" panose="020B0604020202020204" pitchFamily="34" charset="0"/>
            </a:rPr>
            <a:t>Vor dem Ausdrucken nicht befüllte Tabellen ausblenden.</a:t>
          </a: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uenchen.de/rathaus/Stadtverwaltung/Referat-fuer-Bildung-und-Sport/Kindertageseinrichtungen/muenchner-foerderformel.html"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67"/>
  <sheetViews>
    <sheetView tabSelected="1" zoomScaleNormal="100" workbookViewId="0">
      <selection activeCell="B192" sqref="B192:S192"/>
    </sheetView>
  </sheetViews>
  <sheetFormatPr baseColWidth="10" defaultRowHeight="12.75" x14ac:dyDescent="0.2"/>
  <cols>
    <col min="1" max="1" width="3.42578125" customWidth="1"/>
    <col min="19" max="19" width="11.42578125" customWidth="1"/>
    <col min="20" max="20" width="107" customWidth="1"/>
  </cols>
  <sheetData>
    <row r="2" spans="2:20" ht="18" x14ac:dyDescent="0.2">
      <c r="B2" s="80" t="s">
        <v>100</v>
      </c>
      <c r="C2" s="71"/>
      <c r="D2" s="71"/>
      <c r="E2" s="71"/>
      <c r="F2" s="71"/>
      <c r="G2" s="71"/>
      <c r="H2" s="71"/>
      <c r="I2" s="71"/>
      <c r="K2" s="71"/>
      <c r="L2" s="71"/>
      <c r="M2" s="71"/>
      <c r="N2" s="71"/>
      <c r="O2" s="71"/>
      <c r="P2" s="71"/>
      <c r="Q2" s="71"/>
      <c r="R2" s="71"/>
      <c r="S2" s="71"/>
    </row>
    <row r="3" spans="2:20" ht="15" x14ac:dyDescent="0.2">
      <c r="B3" s="64"/>
    </row>
    <row r="4" spans="2:20" ht="222.75" customHeight="1" x14ac:dyDescent="0.2">
      <c r="B4" s="529" t="s">
        <v>480</v>
      </c>
      <c r="C4" s="529"/>
      <c r="D4" s="529"/>
      <c r="E4" s="529"/>
      <c r="F4" s="529"/>
      <c r="G4" s="529"/>
      <c r="H4" s="529"/>
      <c r="I4" s="529"/>
      <c r="J4" s="529"/>
      <c r="K4" s="529"/>
      <c r="L4" s="529"/>
      <c r="M4" s="529"/>
      <c r="N4" s="529"/>
      <c r="O4" s="529"/>
      <c r="P4" s="529"/>
      <c r="Q4" s="529"/>
      <c r="R4" s="529"/>
      <c r="S4" s="529"/>
      <c r="T4" s="469" t="s">
        <v>479</v>
      </c>
    </row>
    <row r="5" spans="2:20" ht="25.5" customHeight="1" x14ac:dyDescent="0.2">
      <c r="B5" s="530" t="s">
        <v>153</v>
      </c>
      <c r="C5" s="530"/>
      <c r="D5" s="530"/>
      <c r="E5" s="444"/>
      <c r="F5" s="453" t="s">
        <v>152</v>
      </c>
      <c r="G5" s="444"/>
      <c r="H5" s="444"/>
      <c r="I5" s="444"/>
      <c r="J5" s="444"/>
      <c r="K5" s="444"/>
      <c r="L5" s="444"/>
      <c r="M5" s="444"/>
      <c r="N5" s="444"/>
      <c r="O5" s="444"/>
      <c r="P5" s="444"/>
      <c r="Q5" s="444"/>
      <c r="R5" s="78"/>
      <c r="S5" s="78"/>
    </row>
    <row r="6" spans="2:20" ht="18" customHeight="1" x14ac:dyDescent="0.2">
      <c r="D6" s="453"/>
      <c r="E6" s="453"/>
      <c r="F6" s="77"/>
      <c r="G6" s="77"/>
      <c r="H6" s="77"/>
      <c r="I6" s="77"/>
      <c r="J6" s="77"/>
      <c r="K6" s="77"/>
      <c r="L6" s="77"/>
      <c r="M6" s="77"/>
      <c r="N6" s="77"/>
      <c r="O6" s="77"/>
      <c r="P6" s="77"/>
      <c r="Q6" s="77"/>
      <c r="R6" s="77"/>
      <c r="S6" s="77"/>
    </row>
    <row r="7" spans="2:20" ht="15" x14ac:dyDescent="0.2">
      <c r="B7" s="64"/>
      <c r="C7" s="64"/>
      <c r="D7" s="64"/>
      <c r="E7" s="64"/>
      <c r="F7" s="64"/>
      <c r="G7" s="64"/>
      <c r="H7" s="64"/>
      <c r="I7" s="64"/>
      <c r="J7" s="64"/>
      <c r="K7" s="64"/>
      <c r="L7" s="64"/>
      <c r="M7" s="64"/>
      <c r="N7" s="64"/>
      <c r="O7" s="64"/>
      <c r="P7" s="64"/>
      <c r="Q7" s="64"/>
      <c r="R7" s="64"/>
      <c r="S7" s="64"/>
    </row>
    <row r="8" spans="2:20" ht="15.75" x14ac:dyDescent="0.2">
      <c r="B8" s="467" t="s">
        <v>145</v>
      </c>
      <c r="C8" s="467"/>
      <c r="D8" s="467"/>
      <c r="E8" s="468"/>
      <c r="F8" s="468"/>
      <c r="G8" s="468"/>
      <c r="H8" s="468"/>
      <c r="I8" s="64"/>
      <c r="J8" s="64"/>
      <c r="K8" s="64"/>
      <c r="L8" s="64"/>
      <c r="M8" s="64"/>
      <c r="N8" s="64"/>
      <c r="O8" s="64"/>
      <c r="P8" s="64"/>
      <c r="Q8" s="64"/>
      <c r="R8" s="64"/>
      <c r="S8" s="64"/>
    </row>
    <row r="9" spans="2:20" ht="15.75" x14ac:dyDescent="0.25">
      <c r="B9" s="69"/>
      <c r="C9" s="69"/>
      <c r="D9" s="69"/>
      <c r="E9" s="64"/>
      <c r="F9" s="64"/>
      <c r="G9" s="64"/>
      <c r="H9" s="64"/>
      <c r="I9" s="64"/>
      <c r="J9" s="64"/>
      <c r="K9" s="64"/>
      <c r="L9" s="64"/>
      <c r="M9" s="64"/>
      <c r="N9" s="64"/>
      <c r="O9" s="64"/>
      <c r="P9" s="64"/>
      <c r="Q9" s="64"/>
      <c r="R9" s="64"/>
      <c r="S9" s="64"/>
    </row>
    <row r="10" spans="2:20" ht="15.75" x14ac:dyDescent="0.25">
      <c r="B10" s="531" t="s">
        <v>142</v>
      </c>
      <c r="C10" s="532"/>
      <c r="D10" s="532"/>
      <c r="E10" s="532"/>
      <c r="F10" s="532"/>
      <c r="G10" s="532"/>
      <c r="H10" s="532"/>
      <c r="I10" s="532"/>
      <c r="J10" s="532"/>
      <c r="K10" s="532"/>
      <c r="L10" s="532"/>
      <c r="M10" s="532"/>
      <c r="N10" s="532"/>
      <c r="O10" s="532"/>
      <c r="P10" s="532"/>
      <c r="Q10" s="532"/>
      <c r="R10" s="532"/>
      <c r="S10" s="533"/>
    </row>
    <row r="11" spans="2:20" ht="45.75" customHeight="1" x14ac:dyDescent="0.2">
      <c r="B11" s="499" t="s">
        <v>508</v>
      </c>
      <c r="C11" s="500"/>
      <c r="D11" s="500"/>
      <c r="E11" s="500"/>
      <c r="F11" s="500"/>
      <c r="G11" s="500"/>
      <c r="H11" s="500"/>
      <c r="I11" s="500"/>
      <c r="J11" s="500"/>
      <c r="K11" s="500"/>
      <c r="L11" s="500"/>
      <c r="M11" s="500"/>
      <c r="N11" s="500"/>
      <c r="O11" s="500"/>
      <c r="P11" s="500"/>
      <c r="Q11" s="500"/>
      <c r="R11" s="500"/>
      <c r="S11" s="501"/>
    </row>
    <row r="12" spans="2:20" ht="15" x14ac:dyDescent="0.2">
      <c r="B12" s="70"/>
      <c r="C12" s="70"/>
      <c r="D12" s="70"/>
      <c r="E12" s="70"/>
      <c r="F12" s="70"/>
      <c r="G12" s="70"/>
      <c r="H12" s="70"/>
      <c r="I12" s="70"/>
      <c r="J12" s="70"/>
      <c r="K12" s="70"/>
      <c r="L12" s="70"/>
      <c r="M12" s="70"/>
      <c r="N12" s="70"/>
      <c r="O12" s="70"/>
      <c r="P12" s="64"/>
      <c r="Q12" s="64"/>
      <c r="R12" s="64"/>
      <c r="S12" s="64"/>
    </row>
    <row r="13" spans="2:20" ht="15.75" x14ac:dyDescent="0.2">
      <c r="B13" s="505" t="s">
        <v>428</v>
      </c>
      <c r="C13" s="506"/>
      <c r="D13" s="506"/>
      <c r="E13" s="506"/>
      <c r="F13" s="506"/>
      <c r="G13" s="506"/>
      <c r="H13" s="506"/>
      <c r="I13" s="506"/>
      <c r="J13" s="506"/>
      <c r="K13" s="506"/>
      <c r="L13" s="506"/>
      <c r="M13" s="506"/>
      <c r="N13" s="506"/>
      <c r="O13" s="506"/>
      <c r="P13" s="506"/>
      <c r="Q13" s="506"/>
      <c r="R13" s="506"/>
      <c r="S13" s="507"/>
    </row>
    <row r="14" spans="2:20" ht="65.25" customHeight="1" x14ac:dyDescent="0.2">
      <c r="B14" s="534" t="s">
        <v>481</v>
      </c>
      <c r="C14" s="535"/>
      <c r="D14" s="535"/>
      <c r="E14" s="535"/>
      <c r="F14" s="535"/>
      <c r="G14" s="535"/>
      <c r="H14" s="535"/>
      <c r="I14" s="535"/>
      <c r="J14" s="535"/>
      <c r="K14" s="535"/>
      <c r="L14" s="535"/>
      <c r="M14" s="535"/>
      <c r="N14" s="535"/>
      <c r="O14" s="535"/>
      <c r="P14" s="535"/>
      <c r="Q14" s="535"/>
      <c r="R14" s="535"/>
      <c r="S14" s="536"/>
    </row>
    <row r="15" spans="2:20" ht="15" customHeight="1" x14ac:dyDescent="0.2">
      <c r="C15" s="73"/>
      <c r="D15" s="73"/>
      <c r="E15" s="73"/>
      <c r="F15" s="73"/>
      <c r="G15" s="73"/>
      <c r="H15" s="73"/>
      <c r="I15" s="73"/>
      <c r="J15" s="73"/>
      <c r="K15" s="73"/>
      <c r="L15" s="73"/>
      <c r="M15" s="73"/>
      <c r="N15" s="73"/>
      <c r="O15" s="73"/>
      <c r="P15" s="64"/>
      <c r="Q15" s="64"/>
      <c r="R15" s="64"/>
      <c r="S15" s="64"/>
    </row>
    <row r="16" spans="2:20" ht="15" x14ac:dyDescent="0.2">
      <c r="B16" s="537"/>
      <c r="C16" s="537"/>
      <c r="D16" s="537"/>
      <c r="E16" s="537"/>
      <c r="F16" s="537"/>
      <c r="G16" s="537"/>
      <c r="H16" s="73"/>
      <c r="I16" s="73"/>
      <c r="J16" s="73"/>
      <c r="K16" s="73"/>
      <c r="L16" s="73"/>
      <c r="M16" s="73"/>
      <c r="N16" s="73"/>
      <c r="O16" s="73"/>
      <c r="P16" s="64"/>
      <c r="Q16" s="64"/>
      <c r="R16" s="64"/>
      <c r="S16" s="64"/>
    </row>
    <row r="17" spans="2:19" ht="15" x14ac:dyDescent="0.2">
      <c r="B17" s="445"/>
      <c r="C17" s="73"/>
      <c r="D17" s="73"/>
      <c r="E17" s="73"/>
      <c r="F17" s="73"/>
      <c r="G17" s="73"/>
      <c r="H17" s="73"/>
      <c r="I17" s="73"/>
      <c r="J17" s="73"/>
      <c r="K17" s="73"/>
      <c r="L17" s="73"/>
      <c r="M17" s="73"/>
      <c r="N17" s="73"/>
      <c r="O17" s="73"/>
      <c r="P17" s="64"/>
      <c r="Q17" s="64"/>
      <c r="R17" s="64"/>
      <c r="S17" s="64"/>
    </row>
    <row r="18" spans="2:19" ht="15" x14ac:dyDescent="0.2">
      <c r="B18" s="537" t="s">
        <v>380</v>
      </c>
      <c r="C18" s="537"/>
      <c r="D18" s="537"/>
      <c r="E18" s="537"/>
      <c r="F18" s="537"/>
      <c r="G18" s="537"/>
      <c r="H18" s="537"/>
      <c r="I18" s="537"/>
      <c r="J18" s="537"/>
      <c r="K18" s="73"/>
      <c r="L18" s="73"/>
      <c r="M18" s="73"/>
      <c r="N18" s="73"/>
      <c r="O18" s="73"/>
      <c r="P18" s="64"/>
      <c r="Q18" s="64"/>
      <c r="R18" s="64"/>
      <c r="S18" s="64"/>
    </row>
    <row r="19" spans="2:19" ht="15" x14ac:dyDescent="0.2">
      <c r="B19" s="445"/>
      <c r="C19" s="445"/>
      <c r="D19" s="445"/>
      <c r="E19" s="445"/>
      <c r="F19" s="445"/>
      <c r="G19" s="445"/>
      <c r="H19" s="445"/>
      <c r="I19" s="73"/>
      <c r="J19" s="73"/>
      <c r="K19" s="73"/>
      <c r="L19" s="73"/>
      <c r="M19" s="73"/>
      <c r="N19" s="73"/>
      <c r="O19" s="73"/>
      <c r="P19" s="64"/>
      <c r="Q19" s="64"/>
      <c r="R19" s="64"/>
      <c r="S19" s="64"/>
    </row>
    <row r="20" spans="2:19" ht="15" x14ac:dyDescent="0.2">
      <c r="B20" s="445"/>
      <c r="C20" s="73"/>
      <c r="D20" s="73"/>
      <c r="E20" s="73"/>
      <c r="F20" s="73"/>
      <c r="G20" s="73"/>
      <c r="H20" s="73"/>
      <c r="I20" s="73"/>
      <c r="J20" s="73"/>
      <c r="K20" s="73"/>
      <c r="L20" s="73"/>
      <c r="M20" s="73"/>
      <c r="N20" s="73"/>
      <c r="O20" s="73"/>
      <c r="P20" s="64"/>
      <c r="Q20" s="64"/>
      <c r="R20" s="64"/>
      <c r="S20" s="64"/>
    </row>
    <row r="21" spans="2:19" ht="15" x14ac:dyDescent="0.2">
      <c r="B21" s="445"/>
      <c r="C21" s="73"/>
      <c r="D21" s="73"/>
      <c r="E21" s="73"/>
      <c r="F21" s="73"/>
      <c r="G21" s="73"/>
      <c r="H21" s="73"/>
      <c r="I21" s="73"/>
      <c r="J21" s="73"/>
      <c r="K21" s="73"/>
      <c r="L21" s="73"/>
      <c r="M21" s="73"/>
      <c r="N21" s="73"/>
      <c r="O21" s="73"/>
      <c r="P21" s="64"/>
      <c r="Q21" s="64"/>
      <c r="R21" s="64"/>
      <c r="S21" s="64"/>
    </row>
    <row r="22" spans="2:19" ht="15" x14ac:dyDescent="0.2">
      <c r="B22" s="445"/>
      <c r="C22" s="73"/>
      <c r="D22" s="73"/>
      <c r="E22" s="73"/>
      <c r="F22" s="73"/>
      <c r="G22" s="73"/>
      <c r="H22" s="73"/>
      <c r="I22" s="73"/>
      <c r="J22" s="73"/>
      <c r="K22" s="73"/>
      <c r="L22" s="73"/>
      <c r="M22" s="73"/>
      <c r="N22" s="73"/>
      <c r="O22" s="73"/>
      <c r="P22" s="64"/>
      <c r="Q22" s="64"/>
      <c r="R22" s="64"/>
      <c r="S22" s="64"/>
    </row>
    <row r="23" spans="2:19" ht="15" x14ac:dyDescent="0.2">
      <c r="B23" s="445"/>
      <c r="C23" s="73"/>
      <c r="D23" s="73"/>
      <c r="E23" s="73"/>
      <c r="F23" s="73"/>
      <c r="G23" s="73"/>
      <c r="H23" s="73"/>
      <c r="I23" s="73"/>
      <c r="J23" s="73"/>
      <c r="K23" s="73"/>
      <c r="L23" s="73"/>
      <c r="M23" s="73"/>
      <c r="N23" s="73"/>
      <c r="O23" s="73"/>
      <c r="P23" s="64"/>
      <c r="Q23" s="64"/>
      <c r="R23" s="64"/>
      <c r="S23" s="64"/>
    </row>
    <row r="24" spans="2:19" ht="15" x14ac:dyDescent="0.2">
      <c r="B24" s="445"/>
      <c r="C24" s="73"/>
      <c r="D24" s="73"/>
      <c r="E24" s="73"/>
      <c r="F24" s="73"/>
      <c r="G24" s="73"/>
      <c r="H24" s="73"/>
      <c r="I24" s="73"/>
      <c r="J24" s="73"/>
      <c r="K24" s="73"/>
      <c r="L24" s="73"/>
      <c r="M24" s="73"/>
      <c r="N24" s="73"/>
      <c r="O24" s="73"/>
      <c r="P24" s="64"/>
      <c r="Q24" s="64"/>
      <c r="R24" s="64"/>
      <c r="S24" s="64"/>
    </row>
    <row r="25" spans="2:19" ht="15" x14ac:dyDescent="0.2">
      <c r="B25" s="445"/>
      <c r="C25" s="73"/>
      <c r="D25" s="73"/>
      <c r="E25" s="73"/>
      <c r="F25" s="73"/>
      <c r="G25" s="73"/>
      <c r="H25" s="73"/>
      <c r="I25" s="73"/>
      <c r="J25" s="73"/>
      <c r="K25" s="73"/>
      <c r="L25" s="73"/>
      <c r="M25" s="73"/>
      <c r="N25" s="73"/>
      <c r="O25" s="73"/>
      <c r="P25" s="64"/>
      <c r="Q25" s="64"/>
      <c r="R25" s="64"/>
      <c r="S25" s="64"/>
    </row>
    <row r="26" spans="2:19" ht="15" x14ac:dyDescent="0.2">
      <c r="B26" s="445"/>
      <c r="C26" s="73"/>
      <c r="D26" s="73"/>
      <c r="E26" s="73"/>
      <c r="F26" s="73"/>
      <c r="G26" s="73"/>
      <c r="H26" s="73"/>
      <c r="I26" s="73"/>
      <c r="J26" s="73"/>
      <c r="K26" s="73"/>
      <c r="L26" s="73"/>
      <c r="M26" s="73"/>
      <c r="N26" s="73"/>
      <c r="O26" s="73"/>
      <c r="P26" s="64"/>
      <c r="Q26" s="64"/>
      <c r="R26" s="64"/>
      <c r="S26" s="64"/>
    </row>
    <row r="27" spans="2:19" ht="15" x14ac:dyDescent="0.2">
      <c r="B27" s="445"/>
      <c r="C27" s="73"/>
      <c r="D27" s="73"/>
      <c r="E27" s="73"/>
      <c r="F27" s="73"/>
      <c r="G27" s="73"/>
      <c r="H27" s="73"/>
      <c r="I27" s="73"/>
      <c r="J27" s="73"/>
      <c r="K27" s="73"/>
      <c r="L27" s="73"/>
      <c r="M27" s="73"/>
      <c r="N27" s="73"/>
      <c r="O27" s="73"/>
      <c r="P27" s="64"/>
      <c r="Q27" s="64"/>
      <c r="R27" s="64"/>
      <c r="S27" s="64"/>
    </row>
    <row r="28" spans="2:19" ht="15" x14ac:dyDescent="0.2">
      <c r="B28" s="445"/>
      <c r="C28" s="73"/>
      <c r="D28" s="73"/>
      <c r="E28" s="73"/>
      <c r="F28" s="73"/>
      <c r="G28" s="73"/>
      <c r="H28" s="73"/>
      <c r="I28" s="73"/>
      <c r="J28" s="73"/>
      <c r="K28" s="73"/>
      <c r="L28" s="73"/>
      <c r="M28" s="73"/>
      <c r="N28" s="73"/>
      <c r="O28" s="73"/>
      <c r="P28" s="64"/>
      <c r="Q28" s="64"/>
      <c r="R28" s="64"/>
      <c r="S28" s="64"/>
    </row>
    <row r="29" spans="2:19" ht="15" x14ac:dyDescent="0.2">
      <c r="B29" s="538" t="s">
        <v>381</v>
      </c>
      <c r="C29" s="538"/>
      <c r="D29" s="538"/>
      <c r="E29" s="538"/>
      <c r="F29" s="538"/>
      <c r="G29" s="538"/>
      <c r="H29" s="538"/>
      <c r="I29" s="538"/>
      <c r="J29" s="538"/>
      <c r="K29" s="73"/>
      <c r="L29" s="73"/>
      <c r="M29" s="73"/>
      <c r="N29" s="73"/>
      <c r="O29" s="73"/>
      <c r="P29" s="64"/>
      <c r="Q29" s="64"/>
      <c r="R29" s="64"/>
      <c r="S29" s="64"/>
    </row>
    <row r="30" spans="2:19" ht="15" x14ac:dyDescent="0.2">
      <c r="B30" s="538"/>
      <c r="C30" s="538"/>
      <c r="D30" s="538"/>
      <c r="E30" s="538"/>
      <c r="F30" s="538"/>
      <c r="G30" s="538"/>
      <c r="H30" s="538"/>
      <c r="I30" s="538"/>
      <c r="J30" s="538"/>
      <c r="K30" s="73"/>
      <c r="L30" s="73"/>
      <c r="M30" s="73"/>
      <c r="N30" s="73"/>
      <c r="O30" s="73"/>
      <c r="P30" s="64"/>
      <c r="Q30" s="64"/>
      <c r="R30" s="64"/>
      <c r="S30" s="64"/>
    </row>
    <row r="31" spans="2:19" ht="15" x14ac:dyDescent="0.2">
      <c r="B31" s="538"/>
      <c r="C31" s="538"/>
      <c r="D31" s="538"/>
      <c r="E31" s="538"/>
      <c r="F31" s="538"/>
      <c r="G31" s="538"/>
      <c r="H31" s="538"/>
      <c r="I31" s="538"/>
      <c r="J31" s="538"/>
      <c r="K31" s="73"/>
      <c r="L31" s="73"/>
      <c r="M31" s="73"/>
      <c r="N31" s="73"/>
      <c r="O31" s="73"/>
      <c r="P31" s="64"/>
      <c r="Q31" s="64"/>
      <c r="R31" s="64"/>
      <c r="S31" s="64"/>
    </row>
    <row r="32" spans="2:19" ht="15" x14ac:dyDescent="0.2">
      <c r="B32" s="445"/>
      <c r="C32" s="73"/>
      <c r="D32" s="73"/>
      <c r="E32" s="73"/>
      <c r="F32" s="73"/>
      <c r="G32" s="73"/>
      <c r="H32" s="73"/>
      <c r="I32" s="73"/>
      <c r="J32" s="73"/>
      <c r="K32" s="73"/>
      <c r="L32" s="73"/>
      <c r="M32" s="73"/>
      <c r="N32" s="73"/>
      <c r="O32" s="73"/>
      <c r="P32" s="64"/>
      <c r="Q32" s="64"/>
      <c r="R32" s="64"/>
      <c r="S32" s="64"/>
    </row>
    <row r="33" spans="2:19" ht="15" x14ac:dyDescent="0.2">
      <c r="B33" s="445"/>
      <c r="C33" s="73"/>
      <c r="D33" s="73"/>
      <c r="E33" s="73"/>
      <c r="F33" s="73"/>
      <c r="G33" s="73"/>
      <c r="H33" s="73"/>
      <c r="I33" s="73"/>
      <c r="J33" s="73"/>
      <c r="K33" s="73"/>
      <c r="L33" s="73"/>
      <c r="M33" s="73"/>
      <c r="N33" s="73"/>
      <c r="O33" s="73"/>
      <c r="P33" s="64"/>
      <c r="Q33" s="64"/>
      <c r="R33" s="64"/>
      <c r="S33" s="64"/>
    </row>
    <row r="34" spans="2:19" ht="15" x14ac:dyDescent="0.2">
      <c r="B34" s="445"/>
      <c r="C34" s="73"/>
      <c r="D34" s="73"/>
      <c r="E34" s="73"/>
      <c r="F34" s="73"/>
      <c r="G34" s="73"/>
      <c r="H34" s="73"/>
      <c r="I34" s="73"/>
      <c r="J34" s="73"/>
      <c r="K34" s="73"/>
      <c r="L34" s="73"/>
      <c r="M34" s="73"/>
      <c r="N34" s="73"/>
      <c r="O34" s="73"/>
      <c r="P34" s="64"/>
      <c r="Q34" s="64"/>
      <c r="R34" s="64"/>
      <c r="S34" s="64"/>
    </row>
    <row r="35" spans="2:19" ht="15" x14ac:dyDescent="0.2">
      <c r="B35" s="445"/>
      <c r="C35" s="73"/>
      <c r="D35" s="73"/>
      <c r="E35" s="73"/>
      <c r="F35" s="73"/>
      <c r="G35" s="73"/>
      <c r="H35" s="73"/>
      <c r="I35" s="73"/>
      <c r="J35" s="73"/>
      <c r="K35" s="73"/>
      <c r="L35" s="73"/>
      <c r="M35" s="73"/>
      <c r="N35" s="73"/>
      <c r="O35" s="73"/>
      <c r="P35" s="64"/>
      <c r="Q35" s="64"/>
      <c r="R35" s="64"/>
      <c r="S35" s="64"/>
    </row>
    <row r="36" spans="2:19" ht="15" x14ac:dyDescent="0.2">
      <c r="B36" s="445"/>
      <c r="C36" s="73"/>
      <c r="D36" s="73"/>
      <c r="E36" s="73"/>
      <c r="F36" s="73"/>
      <c r="G36" s="73"/>
      <c r="H36" s="73"/>
      <c r="I36" s="73"/>
      <c r="J36" s="73"/>
      <c r="K36" s="73"/>
      <c r="L36" s="73"/>
      <c r="M36" s="73"/>
      <c r="N36" s="73"/>
      <c r="O36" s="73"/>
      <c r="P36" s="64"/>
      <c r="Q36" s="64"/>
      <c r="R36" s="64"/>
      <c r="S36" s="64"/>
    </row>
    <row r="37" spans="2:19" ht="15" x14ac:dyDescent="0.2">
      <c r="B37" s="445"/>
      <c r="C37" s="73"/>
      <c r="D37" s="73"/>
      <c r="E37" s="73"/>
      <c r="F37" s="73"/>
      <c r="G37" s="73"/>
      <c r="H37" s="73"/>
      <c r="I37" s="73"/>
      <c r="J37" s="73"/>
      <c r="K37" s="73"/>
      <c r="L37" s="73"/>
      <c r="M37" s="73"/>
      <c r="N37" s="73"/>
      <c r="O37" s="73"/>
      <c r="P37" s="64"/>
      <c r="Q37" s="64"/>
      <c r="R37" s="64"/>
      <c r="S37" s="64"/>
    </row>
    <row r="38" spans="2:19" ht="15" x14ac:dyDescent="0.2">
      <c r="B38" s="445"/>
      <c r="C38" s="73"/>
      <c r="D38" s="73"/>
      <c r="E38" s="73"/>
      <c r="F38" s="73"/>
      <c r="G38" s="73"/>
      <c r="H38" s="73"/>
      <c r="I38" s="73"/>
      <c r="J38" s="73"/>
      <c r="K38" s="73"/>
      <c r="L38" s="73"/>
      <c r="M38" s="73"/>
      <c r="N38" s="73"/>
      <c r="O38" s="73"/>
      <c r="P38" s="64"/>
      <c r="Q38" s="64"/>
      <c r="R38" s="64"/>
      <c r="S38" s="64"/>
    </row>
    <row r="39" spans="2:19" ht="15" x14ac:dyDescent="0.2">
      <c r="B39" s="445"/>
      <c r="C39" s="73"/>
      <c r="D39" s="73"/>
      <c r="E39" s="73"/>
      <c r="F39" s="73"/>
      <c r="G39" s="73"/>
      <c r="H39" s="73"/>
      <c r="I39" s="73"/>
      <c r="J39" s="73"/>
      <c r="K39" s="73"/>
      <c r="L39" s="73"/>
      <c r="M39" s="73"/>
      <c r="N39" s="73"/>
      <c r="O39" s="73"/>
      <c r="P39" s="64"/>
      <c r="Q39" s="64"/>
      <c r="R39" s="64"/>
      <c r="S39" s="64"/>
    </row>
    <row r="40" spans="2:19" ht="15" x14ac:dyDescent="0.2">
      <c r="B40" s="445"/>
      <c r="C40" s="73"/>
      <c r="D40" s="73"/>
      <c r="E40" s="73"/>
      <c r="F40" s="73"/>
      <c r="G40" s="73"/>
      <c r="H40" s="73"/>
      <c r="I40" s="73"/>
      <c r="J40" s="73"/>
      <c r="K40" s="73"/>
      <c r="L40" s="73"/>
      <c r="M40" s="73"/>
      <c r="N40" s="73"/>
      <c r="O40" s="73"/>
      <c r="P40" s="64"/>
      <c r="Q40" s="64"/>
      <c r="R40" s="64"/>
      <c r="S40" s="64"/>
    </row>
    <row r="41" spans="2:19" ht="15" x14ac:dyDescent="0.2">
      <c r="B41" s="445"/>
      <c r="C41" s="73"/>
      <c r="D41" s="73"/>
      <c r="E41" s="73"/>
      <c r="F41" s="73"/>
      <c r="G41" s="73"/>
      <c r="H41" s="73"/>
      <c r="I41" s="73"/>
      <c r="J41" s="73"/>
      <c r="K41" s="73"/>
      <c r="L41" s="73"/>
      <c r="M41" s="73"/>
      <c r="N41" s="73"/>
      <c r="O41" s="73"/>
      <c r="P41" s="64"/>
      <c r="Q41" s="64"/>
      <c r="R41" s="64"/>
      <c r="S41" s="64"/>
    </row>
    <row r="42" spans="2:19" ht="15" x14ac:dyDescent="0.2">
      <c r="B42" s="445"/>
      <c r="C42" s="73"/>
      <c r="D42" s="73"/>
      <c r="E42" s="73"/>
      <c r="F42" s="73"/>
      <c r="G42" s="73"/>
      <c r="H42" s="73"/>
      <c r="I42" s="73"/>
      <c r="J42" s="73"/>
      <c r="K42" s="73"/>
      <c r="L42" s="73"/>
      <c r="M42" s="73"/>
      <c r="N42" s="73"/>
      <c r="O42" s="73"/>
      <c r="P42" s="64"/>
      <c r="Q42" s="64"/>
      <c r="R42" s="64"/>
      <c r="S42" s="64"/>
    </row>
    <row r="43" spans="2:19" ht="15" x14ac:dyDescent="0.2">
      <c r="B43" s="445"/>
      <c r="C43" s="73"/>
      <c r="D43" s="73"/>
      <c r="E43" s="73"/>
      <c r="F43" s="73"/>
      <c r="G43" s="73"/>
      <c r="H43" s="73"/>
      <c r="I43" s="73"/>
      <c r="J43" s="73"/>
      <c r="K43" s="73"/>
      <c r="L43" s="73"/>
      <c r="M43" s="73"/>
      <c r="N43" s="73"/>
      <c r="O43" s="73"/>
      <c r="P43" s="64"/>
      <c r="Q43" s="64"/>
      <c r="R43" s="64"/>
      <c r="S43" s="64"/>
    </row>
    <row r="44" spans="2:19" ht="15" x14ac:dyDescent="0.2">
      <c r="B44" s="445"/>
      <c r="C44" s="73"/>
      <c r="D44" s="73"/>
      <c r="E44" s="73"/>
      <c r="F44" s="73"/>
      <c r="G44" s="73"/>
      <c r="H44" s="73"/>
      <c r="I44" s="73"/>
      <c r="J44" s="73"/>
      <c r="K44" s="73"/>
      <c r="L44" s="73"/>
      <c r="M44" s="73"/>
      <c r="N44" s="73"/>
      <c r="O44" s="73"/>
      <c r="P44" s="64"/>
      <c r="Q44" s="64"/>
      <c r="R44" s="64"/>
      <c r="S44" s="64"/>
    </row>
    <row r="45" spans="2:19" ht="15" x14ac:dyDescent="0.2">
      <c r="B45" s="445"/>
      <c r="C45" s="73"/>
      <c r="D45" s="73"/>
      <c r="E45" s="73"/>
      <c r="F45" s="73"/>
      <c r="G45" s="73"/>
      <c r="H45" s="73"/>
      <c r="I45" s="73"/>
      <c r="J45" s="73"/>
      <c r="K45" s="73"/>
      <c r="L45" s="73"/>
      <c r="M45" s="73"/>
      <c r="N45" s="73"/>
      <c r="O45" s="73"/>
      <c r="P45" s="64"/>
      <c r="Q45" s="64"/>
      <c r="R45" s="64"/>
      <c r="S45" s="64"/>
    </row>
    <row r="46" spans="2:19" ht="15" x14ac:dyDescent="0.2">
      <c r="B46" s="445"/>
      <c r="C46" s="73"/>
      <c r="D46" s="73"/>
      <c r="E46" s="73"/>
      <c r="F46" s="73"/>
      <c r="G46" s="73"/>
      <c r="H46" s="73"/>
      <c r="I46" s="73"/>
      <c r="J46" s="73"/>
      <c r="K46" s="73"/>
      <c r="L46" s="73"/>
      <c r="M46" s="73"/>
      <c r="N46" s="73"/>
      <c r="O46" s="73"/>
      <c r="P46" s="64"/>
      <c r="Q46" s="64"/>
      <c r="R46" s="64"/>
      <c r="S46" s="64"/>
    </row>
    <row r="47" spans="2:19" ht="15" x14ac:dyDescent="0.2">
      <c r="B47" s="445"/>
      <c r="C47" s="73"/>
      <c r="D47" s="73"/>
      <c r="E47" s="73"/>
      <c r="F47" s="73"/>
      <c r="G47" s="73"/>
      <c r="H47" s="73"/>
      <c r="I47" s="73"/>
      <c r="J47" s="73"/>
      <c r="K47" s="73"/>
      <c r="L47" s="73"/>
      <c r="M47" s="73"/>
      <c r="N47" s="73"/>
      <c r="O47" s="73"/>
      <c r="P47" s="64"/>
      <c r="Q47" s="64"/>
      <c r="R47" s="64"/>
      <c r="S47" s="64"/>
    </row>
    <row r="48" spans="2:19" ht="15" x14ac:dyDescent="0.2">
      <c r="B48" s="445"/>
      <c r="C48" s="73"/>
      <c r="D48" s="73"/>
      <c r="E48" s="73"/>
      <c r="F48" s="73"/>
      <c r="G48" s="73"/>
      <c r="H48" s="73"/>
      <c r="I48" s="73"/>
      <c r="J48" s="73"/>
      <c r="K48" s="73"/>
      <c r="L48" s="73"/>
      <c r="M48" s="73"/>
      <c r="N48" s="73"/>
      <c r="O48" s="73"/>
      <c r="P48" s="64"/>
      <c r="Q48" s="64"/>
      <c r="R48" s="64"/>
      <c r="S48" s="64"/>
    </row>
    <row r="49" spans="2:19" ht="15" x14ac:dyDescent="0.2">
      <c r="B49" s="445"/>
      <c r="C49" s="73"/>
      <c r="D49" s="73"/>
      <c r="E49" s="73"/>
      <c r="F49" s="73"/>
      <c r="G49" s="73"/>
      <c r="H49" s="73"/>
      <c r="I49" s="73"/>
      <c r="J49" s="73"/>
      <c r="K49" s="73"/>
      <c r="L49" s="73"/>
      <c r="M49" s="73"/>
      <c r="N49" s="73"/>
      <c r="O49" s="73"/>
      <c r="P49" s="64"/>
      <c r="Q49" s="64"/>
      <c r="R49" s="64"/>
      <c r="S49" s="64"/>
    </row>
    <row r="50" spans="2:19" ht="15" x14ac:dyDescent="0.2">
      <c r="B50" s="445"/>
      <c r="C50" s="73"/>
      <c r="D50" s="73"/>
      <c r="E50" s="73"/>
      <c r="F50" s="73"/>
      <c r="G50" s="73"/>
      <c r="H50" s="73"/>
      <c r="I50" s="73"/>
      <c r="J50" s="73"/>
      <c r="K50" s="73"/>
      <c r="L50" s="73"/>
      <c r="M50" s="73"/>
      <c r="N50" s="73"/>
      <c r="O50" s="73"/>
      <c r="P50" s="64"/>
      <c r="Q50" s="64"/>
      <c r="R50" s="64"/>
      <c r="S50" s="64"/>
    </row>
    <row r="51" spans="2:19" ht="15" x14ac:dyDescent="0.2">
      <c r="B51" s="445"/>
      <c r="C51" s="73"/>
      <c r="D51" s="73"/>
      <c r="E51" s="73"/>
      <c r="F51" s="73"/>
      <c r="G51" s="73"/>
      <c r="H51" s="73"/>
      <c r="I51" s="73"/>
      <c r="J51" s="73"/>
      <c r="K51" s="73"/>
      <c r="L51" s="73"/>
      <c r="M51" s="73"/>
      <c r="N51" s="73"/>
      <c r="O51" s="73"/>
      <c r="P51" s="64"/>
      <c r="Q51" s="64"/>
      <c r="R51" s="64"/>
      <c r="S51" s="64"/>
    </row>
    <row r="52" spans="2:19" ht="15" x14ac:dyDescent="0.2">
      <c r="B52" s="445"/>
      <c r="C52" s="73"/>
      <c r="D52" s="73"/>
      <c r="E52" s="73"/>
      <c r="F52" s="73"/>
      <c r="G52" s="73"/>
      <c r="H52" s="73"/>
      <c r="I52" s="73"/>
      <c r="J52" s="73"/>
      <c r="K52" s="73"/>
      <c r="L52" s="73"/>
      <c r="M52" s="73"/>
      <c r="N52" s="73"/>
      <c r="O52" s="73"/>
      <c r="P52" s="64"/>
      <c r="Q52" s="64"/>
      <c r="R52" s="64"/>
      <c r="S52" s="64"/>
    </row>
    <row r="53" spans="2:19" ht="15" x14ac:dyDescent="0.2">
      <c r="B53" s="445"/>
      <c r="C53" s="73"/>
      <c r="D53" s="73"/>
      <c r="E53" s="73"/>
      <c r="F53" s="73"/>
      <c r="G53" s="73"/>
      <c r="H53" s="73"/>
      <c r="I53" s="73"/>
      <c r="J53" s="73"/>
      <c r="K53" s="73"/>
      <c r="L53" s="73"/>
      <c r="M53" s="73"/>
      <c r="N53" s="73"/>
      <c r="O53" s="73"/>
      <c r="P53" s="64"/>
      <c r="Q53" s="64"/>
      <c r="R53" s="64"/>
      <c r="S53" s="64"/>
    </row>
    <row r="54" spans="2:19" ht="15" x14ac:dyDescent="0.2">
      <c r="B54" s="445"/>
      <c r="C54" s="73"/>
      <c r="D54" s="73"/>
      <c r="E54" s="73"/>
      <c r="F54" s="73"/>
      <c r="G54" s="73"/>
      <c r="H54" s="73"/>
      <c r="I54" s="73"/>
      <c r="J54" s="73"/>
      <c r="K54" s="73"/>
      <c r="L54" s="73"/>
      <c r="M54" s="73"/>
      <c r="N54" s="73"/>
      <c r="O54" s="73"/>
      <c r="P54" s="64"/>
      <c r="Q54" s="64"/>
      <c r="R54" s="64"/>
      <c r="S54" s="64"/>
    </row>
    <row r="55" spans="2:19" ht="15" x14ac:dyDescent="0.2">
      <c r="B55" s="445"/>
      <c r="C55" s="73"/>
      <c r="D55" s="73"/>
      <c r="E55" s="73"/>
      <c r="F55" s="73"/>
      <c r="G55" s="73"/>
      <c r="H55" s="73"/>
      <c r="I55" s="73"/>
      <c r="J55" s="73"/>
      <c r="K55" s="73"/>
      <c r="L55" s="73"/>
      <c r="M55" s="73"/>
      <c r="N55" s="73"/>
      <c r="O55" s="73"/>
      <c r="P55" s="64"/>
      <c r="Q55" s="64"/>
      <c r="R55" s="64"/>
      <c r="S55" s="64"/>
    </row>
    <row r="56" spans="2:19" ht="15" x14ac:dyDescent="0.2">
      <c r="B56" s="445"/>
      <c r="C56" s="73"/>
      <c r="D56" s="73"/>
      <c r="E56" s="73"/>
      <c r="F56" s="73"/>
      <c r="G56" s="73"/>
      <c r="H56" s="73"/>
      <c r="I56" s="73"/>
      <c r="J56" s="73"/>
      <c r="K56" s="73"/>
      <c r="L56" s="73"/>
      <c r="M56" s="73"/>
      <c r="N56" s="73"/>
      <c r="O56" s="73"/>
      <c r="P56" s="64"/>
      <c r="Q56" s="64"/>
      <c r="R56" s="64"/>
      <c r="S56" s="64"/>
    </row>
    <row r="57" spans="2:19" ht="15" x14ac:dyDescent="0.2">
      <c r="B57" s="445"/>
      <c r="C57" s="73"/>
      <c r="D57" s="73"/>
      <c r="E57" s="73"/>
      <c r="F57" s="73"/>
      <c r="G57" s="73"/>
      <c r="H57" s="73"/>
      <c r="I57" s="73"/>
      <c r="J57" s="73"/>
      <c r="K57" s="73"/>
      <c r="L57" s="73"/>
      <c r="M57" s="73"/>
      <c r="N57" s="73"/>
      <c r="O57" s="73"/>
      <c r="P57" s="64"/>
      <c r="Q57" s="64"/>
      <c r="R57" s="64"/>
      <c r="S57" s="64"/>
    </row>
    <row r="58" spans="2:19" ht="15" x14ac:dyDescent="0.2">
      <c r="B58" s="445"/>
      <c r="C58" s="73"/>
      <c r="D58" s="73"/>
      <c r="E58" s="73"/>
      <c r="F58" s="73"/>
      <c r="G58" s="73"/>
      <c r="H58" s="73"/>
      <c r="I58" s="73"/>
      <c r="J58" s="73"/>
      <c r="K58" s="73"/>
      <c r="L58" s="73"/>
      <c r="M58" s="73"/>
      <c r="N58" s="73"/>
      <c r="O58" s="73"/>
      <c r="P58" s="64"/>
      <c r="Q58" s="64"/>
      <c r="R58" s="64"/>
      <c r="S58" s="64"/>
    </row>
    <row r="59" spans="2:19" ht="15" x14ac:dyDescent="0.2">
      <c r="B59" s="445"/>
      <c r="C59" s="73"/>
      <c r="D59" s="73"/>
      <c r="E59" s="73"/>
      <c r="F59" s="73"/>
      <c r="G59" s="73"/>
      <c r="H59" s="73"/>
      <c r="I59" s="73"/>
      <c r="J59" s="73"/>
      <c r="K59" s="73"/>
      <c r="L59" s="73"/>
      <c r="M59" s="73"/>
      <c r="N59" s="73"/>
      <c r="O59" s="73"/>
      <c r="P59" s="64"/>
      <c r="Q59" s="64"/>
      <c r="R59" s="64"/>
      <c r="S59" s="64"/>
    </row>
    <row r="60" spans="2:19" ht="15.75" x14ac:dyDescent="0.25">
      <c r="B60" s="445"/>
      <c r="C60" s="73"/>
      <c r="D60" s="73"/>
      <c r="E60" s="73"/>
      <c r="F60" s="73"/>
      <c r="G60" s="73"/>
      <c r="H60" s="73"/>
      <c r="I60" s="73"/>
      <c r="J60" s="73"/>
      <c r="K60" s="73"/>
      <c r="L60" s="73"/>
      <c r="M60" s="73"/>
      <c r="N60" s="73"/>
      <c r="O60" s="73"/>
      <c r="P60" s="86"/>
      <c r="Q60" s="64"/>
      <c r="R60" s="64"/>
      <c r="S60" s="64"/>
    </row>
    <row r="61" spans="2:19" ht="15.75" x14ac:dyDescent="0.25">
      <c r="B61" s="445"/>
      <c r="C61" s="73"/>
      <c r="D61" s="73"/>
      <c r="E61" s="73"/>
      <c r="F61" s="73"/>
      <c r="G61" s="73"/>
      <c r="H61" s="73"/>
      <c r="I61" s="73"/>
      <c r="J61" s="73"/>
      <c r="K61" s="73"/>
      <c r="L61" s="73"/>
      <c r="M61" s="73"/>
      <c r="N61" s="73"/>
      <c r="O61" s="73"/>
      <c r="Q61" s="86"/>
      <c r="R61" s="64"/>
      <c r="S61" s="64"/>
    </row>
    <row r="62" spans="2:19" ht="15" x14ac:dyDescent="0.2">
      <c r="B62" s="445"/>
      <c r="C62" s="73"/>
      <c r="D62" s="73"/>
      <c r="E62" s="73"/>
      <c r="F62" s="73"/>
      <c r="G62" s="73"/>
      <c r="H62" s="73"/>
      <c r="I62" s="73"/>
      <c r="J62" s="73"/>
      <c r="K62" s="73"/>
      <c r="L62" s="73"/>
      <c r="M62" s="73"/>
      <c r="N62" s="73"/>
      <c r="O62" s="73"/>
      <c r="P62" s="64"/>
      <c r="Q62" s="64"/>
      <c r="R62" s="64"/>
      <c r="S62" s="64"/>
    </row>
    <row r="63" spans="2:19" ht="15" x14ac:dyDescent="0.2">
      <c r="B63" s="445"/>
      <c r="C63" s="73"/>
      <c r="D63" s="73"/>
      <c r="E63" s="73"/>
      <c r="F63" s="73"/>
      <c r="G63" s="73"/>
      <c r="H63" s="73"/>
      <c r="I63" s="73"/>
      <c r="J63" s="73"/>
      <c r="K63" s="73"/>
      <c r="L63" s="73"/>
      <c r="M63" s="73"/>
      <c r="N63" s="73"/>
      <c r="O63" s="73"/>
      <c r="P63" s="64"/>
      <c r="Q63" s="64"/>
      <c r="R63" s="64"/>
      <c r="S63" s="64"/>
    </row>
    <row r="64" spans="2:19" ht="15" x14ac:dyDescent="0.2">
      <c r="B64" s="445"/>
      <c r="C64" s="73"/>
      <c r="D64" s="73"/>
      <c r="E64" s="73"/>
      <c r="F64" s="73"/>
      <c r="G64" s="73"/>
      <c r="H64" s="73"/>
      <c r="I64" s="73"/>
      <c r="J64" s="73"/>
      <c r="K64" s="73"/>
      <c r="L64" s="73"/>
      <c r="M64" s="73"/>
      <c r="N64" s="73"/>
      <c r="O64" s="73"/>
      <c r="P64" s="64"/>
      <c r="Q64" s="64"/>
      <c r="R64" s="64"/>
      <c r="S64" s="64"/>
    </row>
    <row r="65" spans="2:20" ht="15" x14ac:dyDescent="0.2">
      <c r="B65" s="445"/>
      <c r="C65" s="73"/>
      <c r="D65" s="73"/>
      <c r="E65" s="73"/>
      <c r="F65" s="73"/>
      <c r="G65" s="73"/>
      <c r="H65" s="73"/>
      <c r="I65" s="73"/>
      <c r="J65" s="73"/>
      <c r="K65" s="73"/>
      <c r="L65" s="73"/>
      <c r="M65" s="73"/>
      <c r="N65" s="73"/>
      <c r="O65" s="73"/>
      <c r="P65" s="64"/>
      <c r="Q65" s="64"/>
      <c r="R65" s="64"/>
      <c r="S65" s="64"/>
    </row>
    <row r="66" spans="2:20" ht="15" x14ac:dyDescent="0.2">
      <c r="B66" s="445"/>
      <c r="C66" s="73"/>
      <c r="D66" s="73"/>
      <c r="E66" s="73"/>
      <c r="F66" s="73"/>
      <c r="G66" s="73"/>
      <c r="H66" s="73"/>
      <c r="I66" s="73"/>
      <c r="J66" s="73"/>
      <c r="K66" s="73"/>
      <c r="L66" s="73"/>
      <c r="M66" s="73"/>
      <c r="N66" s="73"/>
      <c r="O66" s="73"/>
      <c r="P66" s="123"/>
      <c r="Q66" s="64"/>
      <c r="R66" s="64"/>
      <c r="S66" s="64"/>
    </row>
    <row r="67" spans="2:20" ht="15" x14ac:dyDescent="0.2">
      <c r="B67" s="445"/>
      <c r="C67" s="73"/>
      <c r="D67" s="73"/>
      <c r="E67" s="73"/>
      <c r="F67" s="73"/>
      <c r="G67" s="73"/>
      <c r="H67" s="73"/>
      <c r="I67" s="73"/>
      <c r="J67" s="73"/>
      <c r="K67" s="73"/>
      <c r="L67" s="73"/>
      <c r="M67" s="73"/>
      <c r="N67" s="73"/>
      <c r="O67" s="73"/>
      <c r="P67" s="64"/>
      <c r="Q67" s="64"/>
      <c r="R67" s="64"/>
      <c r="S67" s="64"/>
    </row>
    <row r="68" spans="2:20" ht="15.75" x14ac:dyDescent="0.2">
      <c r="B68" s="89" t="s">
        <v>158</v>
      </c>
      <c r="C68" s="90"/>
      <c r="D68" s="90"/>
      <c r="E68" s="90"/>
      <c r="F68" s="90"/>
      <c r="G68" s="90"/>
      <c r="H68" s="90"/>
      <c r="I68" s="90"/>
      <c r="J68" s="90"/>
      <c r="K68" s="90"/>
      <c r="L68" s="90"/>
      <c r="M68" s="90"/>
      <c r="N68" s="90"/>
      <c r="O68" s="90"/>
      <c r="P68" s="81"/>
      <c r="Q68" s="81"/>
      <c r="R68" s="81"/>
      <c r="S68" s="82"/>
    </row>
    <row r="69" spans="2:20" ht="47.25" customHeight="1" x14ac:dyDescent="0.2">
      <c r="B69" s="514" t="s">
        <v>509</v>
      </c>
      <c r="C69" s="515"/>
      <c r="D69" s="515"/>
      <c r="E69" s="515"/>
      <c r="F69" s="515"/>
      <c r="G69" s="515"/>
      <c r="H69" s="515"/>
      <c r="I69" s="515"/>
      <c r="J69" s="515"/>
      <c r="K69" s="515"/>
      <c r="L69" s="515"/>
      <c r="M69" s="515"/>
      <c r="N69" s="515"/>
      <c r="O69" s="515"/>
      <c r="P69" s="515"/>
      <c r="Q69" s="515"/>
      <c r="R69" s="515"/>
      <c r="S69" s="516"/>
      <c r="T69" s="227"/>
    </row>
    <row r="70" spans="2:20" ht="15" customHeight="1" x14ac:dyDescent="0.2">
      <c r="B70" s="445"/>
      <c r="C70" s="73"/>
      <c r="D70" s="73"/>
      <c r="E70" s="73"/>
      <c r="F70" s="73"/>
      <c r="G70" s="73"/>
      <c r="H70" s="73"/>
      <c r="I70" s="73"/>
      <c r="J70" s="73"/>
      <c r="K70" s="73"/>
      <c r="L70" s="73"/>
      <c r="M70" s="73"/>
      <c r="N70" s="73"/>
      <c r="O70" s="73"/>
      <c r="P70" s="64"/>
      <c r="Q70" s="64"/>
      <c r="R70" s="64"/>
      <c r="S70" s="64"/>
    </row>
    <row r="71" spans="2:20" ht="15.75" x14ac:dyDescent="0.2">
      <c r="B71" s="505" t="s">
        <v>159</v>
      </c>
      <c r="C71" s="506"/>
      <c r="D71" s="506"/>
      <c r="E71" s="506"/>
      <c r="F71" s="506"/>
      <c r="G71" s="506"/>
      <c r="H71" s="506"/>
      <c r="I71" s="506"/>
      <c r="J71" s="506"/>
      <c r="K71" s="506"/>
      <c r="L71" s="506"/>
      <c r="M71" s="506"/>
      <c r="N71" s="506"/>
      <c r="O71" s="506"/>
      <c r="P71" s="506"/>
      <c r="Q71" s="506"/>
      <c r="R71" s="506"/>
      <c r="S71" s="507"/>
    </row>
    <row r="72" spans="2:20" ht="31.5" customHeight="1" x14ac:dyDescent="0.2">
      <c r="B72" s="517" t="s">
        <v>429</v>
      </c>
      <c r="C72" s="518"/>
      <c r="D72" s="518"/>
      <c r="E72" s="518"/>
      <c r="F72" s="518"/>
      <c r="G72" s="518"/>
      <c r="H72" s="518"/>
      <c r="I72" s="518"/>
      <c r="J72" s="518"/>
      <c r="K72" s="518"/>
      <c r="L72" s="518"/>
      <c r="M72" s="518"/>
      <c r="N72" s="518"/>
      <c r="O72" s="518"/>
      <c r="P72" s="518"/>
      <c r="Q72" s="518"/>
      <c r="R72" s="518"/>
      <c r="S72" s="519"/>
    </row>
    <row r="73" spans="2:20" ht="15" x14ac:dyDescent="0.2">
      <c r="B73" s="454"/>
      <c r="C73" s="454"/>
      <c r="D73" s="454"/>
      <c r="E73" s="454"/>
      <c r="F73" s="454"/>
      <c r="G73" s="454"/>
      <c r="H73" s="454"/>
      <c r="I73" s="454"/>
      <c r="J73" s="454"/>
      <c r="K73" s="454"/>
      <c r="L73" s="454"/>
      <c r="M73" s="454"/>
      <c r="N73" s="454"/>
      <c r="O73" s="454"/>
      <c r="P73" s="454"/>
      <c r="Q73" s="454"/>
      <c r="R73" s="454"/>
      <c r="S73" s="454"/>
    </row>
    <row r="74" spans="2:20" ht="15.75" x14ac:dyDescent="0.2">
      <c r="B74" s="466" t="s">
        <v>143</v>
      </c>
      <c r="C74" s="464"/>
      <c r="D74" s="464"/>
      <c r="E74" s="464"/>
      <c r="F74" s="464"/>
      <c r="G74" s="464"/>
      <c r="H74" s="464"/>
      <c r="I74" s="464"/>
      <c r="J74" s="464"/>
      <c r="K74" s="464"/>
      <c r="L74" s="464"/>
      <c r="M74" s="464"/>
      <c r="N74" s="464"/>
      <c r="O74" s="464"/>
      <c r="P74" s="464"/>
      <c r="Q74" s="464"/>
      <c r="R74" s="464"/>
      <c r="S74" s="465"/>
    </row>
    <row r="75" spans="2:20" ht="31.5" customHeight="1" x14ac:dyDescent="0.2">
      <c r="B75" s="517" t="s">
        <v>510</v>
      </c>
      <c r="C75" s="518"/>
      <c r="D75" s="518"/>
      <c r="E75" s="518"/>
      <c r="F75" s="518"/>
      <c r="G75" s="518"/>
      <c r="H75" s="518"/>
      <c r="I75" s="518"/>
      <c r="J75" s="518"/>
      <c r="K75" s="518"/>
      <c r="L75" s="518"/>
      <c r="M75" s="518"/>
      <c r="N75" s="518"/>
      <c r="O75" s="518"/>
      <c r="P75" s="518"/>
      <c r="Q75" s="518"/>
      <c r="R75" s="518"/>
      <c r="S75" s="519"/>
    </row>
    <row r="76" spans="2:20" ht="15" x14ac:dyDescent="0.2">
      <c r="B76" s="454"/>
      <c r="C76" s="454"/>
      <c r="D76" s="454"/>
      <c r="E76" s="454"/>
      <c r="F76" s="454"/>
      <c r="G76" s="454"/>
      <c r="H76" s="454"/>
      <c r="I76" s="454"/>
      <c r="J76" s="454"/>
      <c r="K76" s="454"/>
      <c r="L76" s="454"/>
      <c r="M76" s="454"/>
      <c r="N76" s="454"/>
      <c r="O76" s="454"/>
      <c r="P76" s="454"/>
      <c r="Q76" s="454"/>
      <c r="R76" s="454"/>
      <c r="S76" s="454"/>
    </row>
    <row r="77" spans="2:20" ht="14.25" customHeight="1" x14ac:dyDescent="0.2">
      <c r="B77" s="505" t="s">
        <v>430</v>
      </c>
      <c r="C77" s="506"/>
      <c r="D77" s="506"/>
      <c r="E77" s="506"/>
      <c r="F77" s="506"/>
      <c r="G77" s="506"/>
      <c r="H77" s="506"/>
      <c r="I77" s="506"/>
      <c r="J77" s="506"/>
      <c r="K77" s="506"/>
      <c r="L77" s="506"/>
      <c r="M77" s="506"/>
      <c r="N77" s="506"/>
      <c r="O77" s="506"/>
      <c r="P77" s="506"/>
      <c r="Q77" s="506"/>
      <c r="R77" s="506"/>
      <c r="S77" s="507"/>
    </row>
    <row r="78" spans="2:20" ht="46.5" customHeight="1" x14ac:dyDescent="0.2">
      <c r="B78" s="517" t="s">
        <v>511</v>
      </c>
      <c r="C78" s="518"/>
      <c r="D78" s="518"/>
      <c r="E78" s="518"/>
      <c r="F78" s="518"/>
      <c r="G78" s="518"/>
      <c r="H78" s="518"/>
      <c r="I78" s="518"/>
      <c r="J78" s="518"/>
      <c r="K78" s="518"/>
      <c r="L78" s="518"/>
      <c r="M78" s="518"/>
      <c r="N78" s="518"/>
      <c r="O78" s="518"/>
      <c r="P78" s="518"/>
      <c r="Q78" s="518"/>
      <c r="R78" s="518"/>
      <c r="S78" s="519"/>
      <c r="T78" s="469"/>
    </row>
    <row r="79" spans="2:20" ht="15" customHeight="1" x14ac:dyDescent="0.2">
      <c r="B79" s="445"/>
      <c r="C79" s="73"/>
      <c r="D79" s="73"/>
      <c r="E79" s="73"/>
      <c r="F79" s="73"/>
      <c r="G79" s="73"/>
      <c r="H79" s="73"/>
      <c r="I79" s="73"/>
      <c r="J79" s="73"/>
      <c r="K79" s="73"/>
      <c r="L79" s="73"/>
      <c r="M79" s="73"/>
      <c r="N79" s="73"/>
      <c r="O79" s="73"/>
      <c r="P79" s="64"/>
      <c r="Q79" s="64"/>
      <c r="R79" s="64"/>
      <c r="S79" s="64"/>
    </row>
    <row r="80" spans="2:20" ht="15.75" x14ac:dyDescent="0.2">
      <c r="B80" s="89" t="s">
        <v>431</v>
      </c>
      <c r="C80" s="90"/>
      <c r="D80" s="90"/>
      <c r="E80" s="90"/>
      <c r="F80" s="90"/>
      <c r="G80" s="90"/>
      <c r="H80" s="90"/>
      <c r="I80" s="90"/>
      <c r="J80" s="90"/>
      <c r="K80" s="90"/>
      <c r="L80" s="90"/>
      <c r="M80" s="90"/>
      <c r="N80" s="90"/>
      <c r="O80" s="90"/>
      <c r="P80" s="81"/>
      <c r="Q80" s="81"/>
      <c r="R80" s="81"/>
      <c r="S80" s="82"/>
    </row>
    <row r="81" spans="2:20" ht="165.75" customHeight="1" x14ac:dyDescent="0.2">
      <c r="B81" s="514" t="s">
        <v>525</v>
      </c>
      <c r="C81" s="515"/>
      <c r="D81" s="515"/>
      <c r="E81" s="515"/>
      <c r="F81" s="515"/>
      <c r="G81" s="515"/>
      <c r="H81" s="515"/>
      <c r="I81" s="515"/>
      <c r="J81" s="515"/>
      <c r="K81" s="515"/>
      <c r="L81" s="515"/>
      <c r="M81" s="515"/>
      <c r="N81" s="515"/>
      <c r="O81" s="515"/>
      <c r="P81" s="515"/>
      <c r="Q81" s="515"/>
      <c r="R81" s="515"/>
      <c r="S81" s="516"/>
      <c r="T81" s="470"/>
    </row>
    <row r="82" spans="2:20" ht="15" customHeight="1" x14ac:dyDescent="0.2">
      <c r="B82" s="445"/>
      <c r="C82" s="73"/>
      <c r="D82" s="73"/>
      <c r="E82" s="73"/>
      <c r="F82" s="73"/>
      <c r="G82" s="73"/>
      <c r="H82" s="73"/>
      <c r="I82" s="73"/>
      <c r="J82" s="73"/>
      <c r="K82" s="73"/>
      <c r="L82" s="73"/>
      <c r="M82" s="73"/>
      <c r="N82" s="73"/>
      <c r="O82" s="73"/>
      <c r="P82" s="64"/>
      <c r="Q82" s="64"/>
      <c r="R82" s="64"/>
      <c r="S82" s="64"/>
    </row>
    <row r="83" spans="2:20" ht="15.75" x14ac:dyDescent="0.2">
      <c r="B83" s="508" t="s">
        <v>432</v>
      </c>
      <c r="C83" s="509"/>
      <c r="D83" s="509"/>
      <c r="E83" s="509"/>
      <c r="F83" s="509"/>
      <c r="G83" s="509"/>
      <c r="H83" s="509"/>
      <c r="I83" s="509"/>
      <c r="J83" s="509"/>
      <c r="K83" s="509"/>
      <c r="L83" s="509"/>
      <c r="M83" s="509"/>
      <c r="N83" s="509"/>
      <c r="O83" s="509"/>
      <c r="P83" s="509"/>
      <c r="Q83" s="509"/>
      <c r="R83" s="509"/>
      <c r="S83" s="510"/>
    </row>
    <row r="84" spans="2:20" ht="15" x14ac:dyDescent="0.2">
      <c r="B84" s="511" t="s">
        <v>475</v>
      </c>
      <c r="C84" s="512"/>
      <c r="D84" s="512"/>
      <c r="E84" s="512"/>
      <c r="F84" s="512"/>
      <c r="G84" s="512"/>
      <c r="H84" s="512"/>
      <c r="I84" s="512"/>
      <c r="J84" s="512"/>
      <c r="K84" s="512"/>
      <c r="L84" s="512"/>
      <c r="M84" s="512"/>
      <c r="N84" s="512"/>
      <c r="O84" s="512"/>
      <c r="P84" s="512"/>
      <c r="Q84" s="512"/>
      <c r="R84" s="512"/>
      <c r="S84" s="513"/>
    </row>
    <row r="85" spans="2:20" ht="15" x14ac:dyDescent="0.2">
      <c r="B85" s="461"/>
      <c r="C85" s="461"/>
      <c r="D85" s="461"/>
      <c r="E85" s="461"/>
      <c r="F85" s="461"/>
      <c r="G85" s="461"/>
      <c r="H85" s="461"/>
      <c r="I85" s="461"/>
      <c r="J85" s="461"/>
      <c r="K85" s="461"/>
      <c r="L85" s="461"/>
      <c r="M85" s="461"/>
      <c r="N85" s="461"/>
      <c r="O85" s="461"/>
      <c r="P85" s="461"/>
      <c r="Q85" s="461"/>
      <c r="R85" s="461"/>
      <c r="S85" s="461"/>
    </row>
    <row r="86" spans="2:20" ht="15" x14ac:dyDescent="0.2">
      <c r="B86" s="79" t="s">
        <v>433</v>
      </c>
      <c r="C86" s="73"/>
      <c r="D86" s="73"/>
      <c r="E86" s="73"/>
      <c r="F86" s="73"/>
      <c r="G86" s="73"/>
      <c r="H86" s="73"/>
      <c r="I86" s="73"/>
      <c r="J86" s="73"/>
      <c r="K86" s="73"/>
      <c r="L86" s="73"/>
      <c r="M86" s="73"/>
      <c r="N86" s="73"/>
      <c r="O86" s="73"/>
      <c r="P86" s="64"/>
      <c r="Q86" s="64"/>
      <c r="R86" s="64"/>
      <c r="S86" s="64"/>
    </row>
    <row r="87" spans="2:20" ht="15" x14ac:dyDescent="0.2">
      <c r="B87" s="445"/>
      <c r="C87" s="73"/>
      <c r="D87" s="73"/>
      <c r="E87" s="73"/>
      <c r="F87" s="73"/>
      <c r="G87" s="73"/>
      <c r="H87" s="73"/>
      <c r="I87" s="73"/>
      <c r="J87" s="73"/>
      <c r="K87" s="73"/>
      <c r="L87" s="73"/>
      <c r="M87" s="73"/>
      <c r="N87" s="73"/>
      <c r="O87" s="73"/>
      <c r="P87" s="64"/>
      <c r="Q87" s="64"/>
      <c r="R87" s="64"/>
      <c r="S87" s="64"/>
    </row>
    <row r="88" spans="2:20" ht="15" x14ac:dyDescent="0.2">
      <c r="B88" s="445"/>
      <c r="C88" s="73"/>
      <c r="D88" s="73"/>
      <c r="E88" s="73"/>
      <c r="F88" s="73"/>
      <c r="G88" s="73"/>
      <c r="H88" s="73"/>
      <c r="I88" s="73"/>
      <c r="J88" s="73"/>
      <c r="K88" s="73"/>
      <c r="L88" s="73"/>
      <c r="M88" s="73"/>
      <c r="N88" s="73"/>
      <c r="O88" s="73"/>
      <c r="P88" s="64"/>
      <c r="Q88" s="64"/>
      <c r="R88" s="64"/>
      <c r="S88" s="64"/>
    </row>
    <row r="89" spans="2:20" ht="15" x14ac:dyDescent="0.2">
      <c r="B89" s="445"/>
      <c r="C89" s="73"/>
      <c r="D89" s="73"/>
      <c r="E89" s="73"/>
      <c r="F89" s="73"/>
      <c r="G89" s="73"/>
      <c r="H89" s="73"/>
      <c r="I89" s="73"/>
      <c r="J89" s="73"/>
      <c r="K89" s="73"/>
      <c r="L89" s="73"/>
      <c r="M89" s="73"/>
      <c r="N89" s="73"/>
      <c r="O89" s="73"/>
      <c r="P89" s="64"/>
      <c r="Q89" s="64"/>
      <c r="R89" s="64"/>
      <c r="S89" s="64"/>
    </row>
    <row r="90" spans="2:20" ht="15" x14ac:dyDescent="0.2">
      <c r="B90" s="445"/>
      <c r="C90" s="73"/>
      <c r="D90" s="73"/>
      <c r="E90" s="73"/>
      <c r="F90" s="76"/>
      <c r="G90" s="73"/>
      <c r="H90" s="73"/>
      <c r="I90" s="73"/>
      <c r="J90" s="73"/>
      <c r="K90" s="73"/>
      <c r="L90" s="73"/>
      <c r="M90" s="73"/>
      <c r="N90" s="73"/>
      <c r="O90" s="73"/>
      <c r="P90" s="64"/>
      <c r="Q90" s="64"/>
      <c r="R90" s="64"/>
      <c r="S90" s="64"/>
    </row>
    <row r="91" spans="2:20" ht="15" x14ac:dyDescent="0.2">
      <c r="B91" s="445"/>
      <c r="C91" s="73"/>
      <c r="D91" s="73"/>
      <c r="E91" s="73"/>
      <c r="F91" s="73"/>
      <c r="G91" s="73"/>
      <c r="H91" s="73"/>
      <c r="I91" s="73"/>
      <c r="J91" s="73"/>
      <c r="K91" s="73"/>
      <c r="L91" s="73"/>
      <c r="M91" s="73"/>
      <c r="N91" s="73"/>
      <c r="O91" s="73"/>
      <c r="P91" s="64"/>
      <c r="Q91" s="64"/>
      <c r="R91" s="64"/>
      <c r="S91" s="64"/>
    </row>
    <row r="92" spans="2:20" ht="15" x14ac:dyDescent="0.2">
      <c r="C92" s="73"/>
      <c r="D92" s="73"/>
      <c r="E92" s="73"/>
      <c r="F92" s="73"/>
      <c r="G92" s="73"/>
      <c r="H92" s="73"/>
      <c r="I92" s="73"/>
      <c r="J92" s="73"/>
      <c r="K92" s="73"/>
      <c r="L92" s="73"/>
      <c r="M92" s="73"/>
      <c r="N92" s="73"/>
      <c r="O92" s="73"/>
      <c r="P92" s="64"/>
      <c r="Q92" s="64"/>
      <c r="R92" s="64"/>
      <c r="S92" s="64"/>
    </row>
    <row r="93" spans="2:20" ht="15" x14ac:dyDescent="0.2">
      <c r="C93" s="73"/>
      <c r="D93" s="73"/>
      <c r="E93" s="73"/>
      <c r="F93" s="73"/>
      <c r="G93" s="73"/>
      <c r="H93" s="73"/>
      <c r="I93" s="73"/>
      <c r="J93" s="73"/>
      <c r="K93" s="73"/>
      <c r="L93" s="73"/>
      <c r="M93" s="73"/>
      <c r="N93" s="73"/>
      <c r="O93" s="73"/>
      <c r="P93" s="64"/>
      <c r="Q93" s="64"/>
      <c r="R93" s="64"/>
      <c r="S93" s="64"/>
    </row>
    <row r="94" spans="2:20" ht="15" x14ac:dyDescent="0.2">
      <c r="B94" s="64" t="s">
        <v>482</v>
      </c>
      <c r="C94" s="471"/>
      <c r="D94" s="471"/>
      <c r="E94" s="471"/>
      <c r="F94" s="73"/>
      <c r="G94" s="73"/>
      <c r="H94" s="73"/>
      <c r="I94" s="73"/>
      <c r="J94" s="73"/>
      <c r="K94" s="73"/>
      <c r="L94" s="73"/>
      <c r="M94" s="73"/>
      <c r="N94" s="73"/>
      <c r="O94" s="73"/>
      <c r="P94" s="64"/>
      <c r="Q94" s="64"/>
      <c r="R94" s="64"/>
      <c r="S94" s="64"/>
    </row>
    <row r="95" spans="2:20" ht="15" x14ac:dyDescent="0.2">
      <c r="B95" s="445"/>
      <c r="C95" s="73"/>
      <c r="D95" s="73"/>
      <c r="E95" s="73"/>
      <c r="F95" s="73"/>
      <c r="G95" s="73"/>
      <c r="H95" s="73"/>
      <c r="I95" s="73"/>
      <c r="J95" s="73"/>
      <c r="K95" s="73"/>
      <c r="L95" s="73"/>
      <c r="M95" s="73"/>
      <c r="N95" s="73"/>
      <c r="O95" s="73"/>
      <c r="P95" s="64"/>
      <c r="Q95" s="64"/>
      <c r="R95" s="64"/>
      <c r="S95" s="64"/>
    </row>
    <row r="96" spans="2:20" ht="15" x14ac:dyDescent="0.2">
      <c r="B96" s="445"/>
      <c r="C96" s="73"/>
      <c r="D96" s="73"/>
      <c r="E96" s="73"/>
      <c r="F96" s="73"/>
      <c r="G96" s="73"/>
      <c r="H96" s="73"/>
      <c r="I96" s="73"/>
      <c r="J96" s="73"/>
      <c r="K96" s="73"/>
      <c r="L96" s="73"/>
      <c r="M96" s="73"/>
      <c r="N96" s="73"/>
      <c r="O96" s="73"/>
      <c r="P96" s="64"/>
      <c r="Q96" s="64"/>
      <c r="R96" s="64"/>
      <c r="S96" s="64"/>
    </row>
    <row r="97" spans="2:19" ht="15" x14ac:dyDescent="0.2">
      <c r="B97" s="445"/>
      <c r="C97" s="73"/>
      <c r="D97" s="73"/>
      <c r="E97" s="73"/>
      <c r="F97" s="73"/>
      <c r="G97" s="73"/>
      <c r="H97" s="73"/>
      <c r="I97" s="73"/>
      <c r="J97" s="73"/>
      <c r="K97" s="73"/>
      <c r="L97" s="73"/>
      <c r="M97" s="73"/>
      <c r="N97" s="73"/>
      <c r="O97" s="73"/>
      <c r="P97" s="64"/>
      <c r="Q97" s="64"/>
      <c r="R97" s="64"/>
      <c r="S97" s="64"/>
    </row>
    <row r="98" spans="2:19" ht="15" x14ac:dyDescent="0.2">
      <c r="B98" s="445"/>
      <c r="C98" s="73"/>
      <c r="D98" s="73"/>
      <c r="E98" s="73"/>
      <c r="F98" s="73"/>
      <c r="G98" s="73"/>
      <c r="H98" s="73"/>
      <c r="I98" s="73"/>
      <c r="J98" s="73"/>
      <c r="K98" s="73"/>
      <c r="L98" s="73"/>
      <c r="M98" s="73"/>
      <c r="N98" s="73"/>
      <c r="O98" s="73"/>
      <c r="P98" s="64"/>
      <c r="Q98" s="64"/>
      <c r="R98" s="64"/>
      <c r="S98" s="64"/>
    </row>
    <row r="99" spans="2:19" ht="15" x14ac:dyDescent="0.2">
      <c r="B99" s="445"/>
      <c r="C99" s="73"/>
      <c r="D99" s="73"/>
      <c r="E99" s="73"/>
      <c r="F99" s="73"/>
      <c r="G99" s="73"/>
      <c r="H99" s="73"/>
      <c r="I99" s="73"/>
      <c r="J99" s="73"/>
      <c r="K99" s="73"/>
      <c r="L99" s="73"/>
      <c r="M99" s="73"/>
      <c r="N99" s="73"/>
      <c r="O99" s="73"/>
      <c r="P99" s="64"/>
      <c r="Q99" s="64"/>
      <c r="R99" s="64"/>
      <c r="S99" s="64"/>
    </row>
    <row r="100" spans="2:19" ht="15" x14ac:dyDescent="0.2">
      <c r="B100" s="445"/>
      <c r="C100" s="73"/>
      <c r="D100" s="73"/>
      <c r="E100" s="73"/>
      <c r="F100" s="73"/>
      <c r="G100" s="73"/>
      <c r="H100" s="73"/>
      <c r="I100" s="73"/>
      <c r="J100" s="73"/>
      <c r="K100" s="73"/>
      <c r="L100" s="73"/>
      <c r="M100" s="73"/>
      <c r="N100" s="73"/>
      <c r="O100" s="73"/>
      <c r="P100" s="64"/>
      <c r="Q100" s="64"/>
      <c r="R100" s="64"/>
      <c r="S100" s="64"/>
    </row>
    <row r="101" spans="2:19" ht="15" x14ac:dyDescent="0.2">
      <c r="B101" s="445"/>
      <c r="C101" s="73"/>
      <c r="D101" s="73"/>
      <c r="E101" s="73"/>
      <c r="F101" s="73"/>
      <c r="G101" s="73"/>
      <c r="H101" s="73"/>
      <c r="I101" s="73"/>
      <c r="J101" s="73"/>
      <c r="K101" s="73"/>
      <c r="L101" s="73"/>
      <c r="M101" s="73"/>
      <c r="N101" s="73"/>
      <c r="O101" s="73"/>
      <c r="P101" s="64"/>
      <c r="Q101" s="64"/>
      <c r="R101" s="64"/>
      <c r="S101" s="64"/>
    </row>
    <row r="102" spans="2:19" ht="15" x14ac:dyDescent="0.2">
      <c r="B102" s="445"/>
      <c r="C102" s="73"/>
      <c r="D102" s="73"/>
      <c r="E102" s="73"/>
      <c r="F102" s="73"/>
      <c r="G102" s="73"/>
      <c r="H102" s="73"/>
      <c r="I102" s="73"/>
      <c r="J102" s="73"/>
      <c r="K102" s="73"/>
      <c r="L102" s="73"/>
      <c r="M102" s="73"/>
      <c r="N102" s="73"/>
      <c r="O102" s="73"/>
      <c r="P102" s="64"/>
      <c r="Q102" s="64"/>
      <c r="R102" s="64"/>
      <c r="S102" s="64"/>
    </row>
    <row r="103" spans="2:19" ht="15" x14ac:dyDescent="0.2">
      <c r="B103" s="445"/>
      <c r="C103" s="73"/>
      <c r="D103" s="73"/>
      <c r="E103" s="73"/>
      <c r="F103" s="73"/>
      <c r="G103" s="73"/>
      <c r="H103" s="73"/>
      <c r="I103" s="73"/>
      <c r="J103" s="73"/>
      <c r="K103" s="73"/>
      <c r="L103" s="73"/>
      <c r="M103" s="73"/>
      <c r="N103" s="73"/>
      <c r="O103" s="73"/>
      <c r="P103" s="64"/>
      <c r="Q103" s="64"/>
      <c r="R103" s="64"/>
      <c r="S103" s="64"/>
    </row>
    <row r="104" spans="2:19" ht="15" x14ac:dyDescent="0.2">
      <c r="B104" s="445"/>
      <c r="C104" s="73"/>
      <c r="D104" s="73"/>
      <c r="E104" s="73"/>
      <c r="F104" s="73"/>
      <c r="G104" s="73"/>
      <c r="H104" s="73"/>
      <c r="I104" s="73"/>
      <c r="J104" s="73"/>
      <c r="K104" s="73"/>
      <c r="L104" s="73"/>
      <c r="M104" s="73"/>
      <c r="N104" s="73"/>
      <c r="O104" s="73"/>
      <c r="P104" s="64"/>
      <c r="Q104" s="64"/>
      <c r="R104" s="64"/>
      <c r="S104" s="64"/>
    </row>
    <row r="105" spans="2:19" ht="15" x14ac:dyDescent="0.2">
      <c r="B105" s="445"/>
      <c r="C105" s="73"/>
      <c r="D105" s="73"/>
      <c r="E105" s="73"/>
      <c r="F105" s="73"/>
      <c r="G105" s="73"/>
      <c r="H105" s="73"/>
      <c r="I105" s="73"/>
      <c r="J105" s="73"/>
      <c r="K105" s="73"/>
      <c r="L105" s="73"/>
      <c r="M105" s="73"/>
      <c r="N105" s="73"/>
      <c r="O105" s="73"/>
      <c r="P105" s="64"/>
      <c r="Q105" s="64"/>
      <c r="R105" s="64"/>
      <c r="S105" s="64"/>
    </row>
    <row r="106" spans="2:19" ht="15" x14ac:dyDescent="0.2">
      <c r="B106" s="445"/>
      <c r="C106" s="73"/>
      <c r="D106" s="73"/>
      <c r="E106" s="73"/>
      <c r="F106" s="73"/>
      <c r="G106" s="73"/>
      <c r="H106" s="73"/>
      <c r="I106" s="73"/>
      <c r="J106" s="73"/>
      <c r="K106" s="73"/>
      <c r="L106" s="73"/>
      <c r="M106" s="73"/>
      <c r="N106" s="73"/>
      <c r="O106" s="73"/>
      <c r="P106" s="64"/>
      <c r="Q106" s="64"/>
      <c r="R106" s="64"/>
      <c r="S106" s="64"/>
    </row>
    <row r="107" spans="2:19" ht="15" x14ac:dyDescent="0.2">
      <c r="B107" s="445"/>
      <c r="C107" s="73"/>
      <c r="D107" s="73"/>
      <c r="E107" s="73"/>
      <c r="F107" s="73"/>
      <c r="G107" s="73"/>
      <c r="H107" s="73"/>
      <c r="I107" s="73"/>
      <c r="J107" s="73"/>
      <c r="K107" s="73"/>
      <c r="L107" s="73"/>
      <c r="M107" s="73"/>
      <c r="N107" s="73"/>
      <c r="O107" s="73"/>
      <c r="P107" s="64"/>
      <c r="Q107" s="64"/>
      <c r="R107" s="64"/>
      <c r="S107" s="64"/>
    </row>
    <row r="108" spans="2:19" ht="15" x14ac:dyDescent="0.2">
      <c r="B108" s="445"/>
      <c r="C108" s="73"/>
      <c r="D108" s="73"/>
      <c r="E108" s="73"/>
      <c r="F108" s="73"/>
      <c r="G108" s="73"/>
      <c r="H108" s="73"/>
      <c r="I108" s="73"/>
      <c r="J108" s="73"/>
      <c r="K108" s="73"/>
      <c r="L108" s="73"/>
      <c r="M108" s="73"/>
      <c r="N108" s="73"/>
      <c r="O108" s="73"/>
      <c r="P108" s="64"/>
      <c r="Q108" s="64"/>
      <c r="R108" s="64"/>
      <c r="S108" s="64"/>
    </row>
    <row r="109" spans="2:19" ht="15" x14ac:dyDescent="0.2">
      <c r="B109" s="445"/>
      <c r="C109" s="73"/>
      <c r="D109" s="73"/>
      <c r="E109" s="73"/>
      <c r="F109" s="73"/>
      <c r="G109" s="73"/>
      <c r="H109" s="73"/>
      <c r="I109" s="73"/>
      <c r="J109" s="73"/>
      <c r="K109" s="73"/>
      <c r="L109" s="73"/>
      <c r="M109" s="73"/>
      <c r="N109" s="73"/>
      <c r="O109" s="73"/>
      <c r="P109" s="64"/>
      <c r="Q109" s="64"/>
      <c r="R109" s="64"/>
      <c r="S109" s="64"/>
    </row>
    <row r="110" spans="2:19" ht="15" x14ac:dyDescent="0.2">
      <c r="B110" s="445"/>
      <c r="C110" s="73"/>
      <c r="D110" s="73"/>
      <c r="E110" s="73"/>
      <c r="F110" s="73"/>
      <c r="G110" s="73"/>
      <c r="H110" s="73"/>
      <c r="I110" s="73"/>
      <c r="J110" s="73"/>
      <c r="K110" s="73"/>
      <c r="L110" s="73"/>
      <c r="M110" s="73"/>
      <c r="N110" s="73"/>
      <c r="O110" s="73"/>
      <c r="P110" s="64"/>
      <c r="Q110" s="64"/>
      <c r="R110" s="64"/>
      <c r="S110" s="64"/>
    </row>
    <row r="111" spans="2:19" ht="15" x14ac:dyDescent="0.2">
      <c r="B111" s="445"/>
      <c r="C111" s="73"/>
      <c r="D111" s="73"/>
      <c r="E111" s="73"/>
      <c r="F111" s="73"/>
      <c r="G111" s="73"/>
      <c r="H111" s="73"/>
      <c r="I111" s="73"/>
      <c r="J111" s="73"/>
      <c r="K111" s="73"/>
      <c r="L111" s="73"/>
      <c r="M111" s="73"/>
      <c r="N111" s="73"/>
      <c r="O111" s="73"/>
      <c r="P111" s="64"/>
      <c r="Q111" s="64"/>
      <c r="R111" s="64"/>
      <c r="S111" s="64"/>
    </row>
    <row r="112" spans="2:19" ht="15" x14ac:dyDescent="0.2">
      <c r="B112" s="445"/>
      <c r="C112" s="73"/>
      <c r="D112" s="73"/>
      <c r="E112" s="73"/>
      <c r="F112" s="73"/>
      <c r="G112" s="73"/>
      <c r="H112" s="73"/>
      <c r="I112" s="73"/>
      <c r="J112" s="73"/>
      <c r="K112" s="73"/>
      <c r="L112" s="73"/>
      <c r="M112" s="73"/>
      <c r="N112" s="73"/>
      <c r="O112" s="73"/>
      <c r="P112" s="64"/>
      <c r="Q112" s="64"/>
      <c r="R112" s="64"/>
      <c r="S112" s="64"/>
    </row>
    <row r="113" spans="2:20" ht="15" x14ac:dyDescent="0.2">
      <c r="B113" s="445"/>
      <c r="C113" s="73"/>
      <c r="D113" s="73"/>
      <c r="E113" s="73"/>
      <c r="F113" s="73"/>
      <c r="G113" s="73"/>
      <c r="H113" s="73"/>
      <c r="I113" s="73"/>
      <c r="J113" s="73"/>
      <c r="K113" s="73"/>
      <c r="L113" s="73"/>
      <c r="M113" s="73"/>
      <c r="N113" s="73"/>
      <c r="O113" s="73"/>
      <c r="P113" s="64"/>
      <c r="Q113" s="64"/>
      <c r="R113" s="64"/>
      <c r="S113" s="64"/>
    </row>
    <row r="114" spans="2:20" ht="15" x14ac:dyDescent="0.2">
      <c r="B114" s="445"/>
      <c r="C114" s="73"/>
      <c r="D114" s="73"/>
      <c r="E114" s="73"/>
      <c r="F114" s="73"/>
      <c r="G114" s="73"/>
      <c r="H114" s="73"/>
      <c r="I114" s="73"/>
      <c r="J114" s="73"/>
      <c r="K114" s="73"/>
      <c r="L114" s="73"/>
      <c r="M114" s="73"/>
      <c r="N114" s="73"/>
      <c r="O114" s="73"/>
      <c r="P114" s="64"/>
      <c r="Q114" s="64"/>
      <c r="R114" s="64"/>
      <c r="S114" s="64"/>
    </row>
    <row r="115" spans="2:20" ht="15" x14ac:dyDescent="0.2">
      <c r="B115" s="445"/>
      <c r="C115" s="73"/>
      <c r="D115" s="73"/>
      <c r="E115" s="73"/>
      <c r="F115" s="73"/>
      <c r="G115" s="73"/>
      <c r="H115" s="73"/>
      <c r="I115" s="73"/>
      <c r="J115" s="73"/>
      <c r="K115" s="73"/>
      <c r="L115" s="73"/>
      <c r="M115" s="73"/>
      <c r="N115" s="73"/>
      <c r="O115" s="73"/>
      <c r="P115" s="64"/>
      <c r="Q115" s="64"/>
      <c r="R115" s="64"/>
      <c r="S115" s="64"/>
    </row>
    <row r="116" spans="2:20" ht="15" x14ac:dyDescent="0.2">
      <c r="B116" s="445"/>
      <c r="C116" s="73"/>
      <c r="D116" s="73"/>
      <c r="E116" s="73"/>
      <c r="F116" s="73"/>
      <c r="G116" s="73"/>
      <c r="H116" s="73"/>
      <c r="I116" s="73"/>
      <c r="J116" s="73"/>
      <c r="K116" s="73"/>
      <c r="L116" s="73"/>
      <c r="M116" s="73"/>
      <c r="N116" s="73"/>
      <c r="O116" s="73"/>
      <c r="P116" s="64"/>
      <c r="Q116" s="64"/>
      <c r="R116" s="64"/>
      <c r="S116" s="64"/>
    </row>
    <row r="117" spans="2:20" ht="15" x14ac:dyDescent="0.2">
      <c r="B117" s="445"/>
      <c r="C117" s="73"/>
      <c r="D117" s="73"/>
      <c r="E117" s="73"/>
      <c r="F117" s="73"/>
      <c r="G117" s="73"/>
      <c r="H117" s="73"/>
      <c r="I117" s="73"/>
      <c r="J117" s="73"/>
      <c r="K117" s="73"/>
      <c r="L117" s="73"/>
      <c r="M117" s="73"/>
      <c r="N117" s="73"/>
      <c r="O117" s="73"/>
      <c r="P117" s="64"/>
      <c r="Q117" s="64"/>
      <c r="R117" s="64"/>
      <c r="S117" s="64"/>
    </row>
    <row r="118" spans="2:20" ht="15" x14ac:dyDescent="0.2">
      <c r="B118" s="445"/>
      <c r="C118" s="73"/>
      <c r="D118" s="73"/>
      <c r="E118" s="73"/>
      <c r="F118" s="73"/>
      <c r="G118" s="73"/>
      <c r="H118" s="73"/>
      <c r="I118" s="73"/>
      <c r="J118" s="73"/>
      <c r="K118" s="73"/>
      <c r="L118" s="73"/>
      <c r="M118" s="73"/>
      <c r="N118" s="73"/>
      <c r="O118" s="73"/>
      <c r="P118" s="64"/>
      <c r="Q118" s="64"/>
      <c r="R118" s="64"/>
      <c r="S118" s="64"/>
    </row>
    <row r="119" spans="2:20" ht="15.75" x14ac:dyDescent="0.2">
      <c r="B119" s="124"/>
      <c r="C119" s="124"/>
      <c r="D119" s="124"/>
      <c r="E119" s="124"/>
      <c r="F119" s="441"/>
      <c r="G119" s="441"/>
      <c r="H119" s="441"/>
      <c r="I119" s="441"/>
      <c r="J119" s="441"/>
      <c r="K119" s="441"/>
      <c r="L119" s="441"/>
      <c r="M119" s="441"/>
      <c r="N119" s="441"/>
      <c r="O119" s="441"/>
      <c r="P119" s="74"/>
      <c r="Q119" s="74"/>
      <c r="R119" s="74"/>
      <c r="S119" s="74"/>
    </row>
    <row r="120" spans="2:20" ht="15.75" x14ac:dyDescent="0.2">
      <c r="B120" s="124"/>
      <c r="C120" s="124"/>
      <c r="D120" s="124"/>
      <c r="E120" s="124"/>
      <c r="F120" s="441"/>
      <c r="G120" s="441"/>
      <c r="H120" s="441"/>
      <c r="I120" s="441"/>
      <c r="J120" s="441"/>
      <c r="K120" s="441"/>
      <c r="L120" s="441"/>
      <c r="M120" s="441"/>
      <c r="N120" s="441"/>
      <c r="O120" s="441"/>
      <c r="P120" s="74"/>
      <c r="Q120" s="74"/>
      <c r="R120" s="74"/>
      <c r="S120" s="74"/>
    </row>
    <row r="121" spans="2:20" ht="15.75" x14ac:dyDescent="0.2">
      <c r="B121" s="124"/>
      <c r="C121" s="124"/>
      <c r="D121" s="124"/>
      <c r="E121" s="124"/>
      <c r="F121" s="441"/>
      <c r="G121" s="441"/>
      <c r="H121" s="441"/>
      <c r="I121" s="441"/>
      <c r="J121" s="441"/>
      <c r="K121" s="441"/>
      <c r="L121" s="441"/>
      <c r="M121" s="441"/>
      <c r="N121" s="441"/>
      <c r="O121" s="441"/>
      <c r="P121" s="74"/>
      <c r="Q121" s="74"/>
      <c r="R121" s="74"/>
      <c r="S121" s="74"/>
    </row>
    <row r="122" spans="2:20" ht="15.75" x14ac:dyDescent="0.25">
      <c r="B122" s="493" t="s">
        <v>434</v>
      </c>
      <c r="C122" s="494"/>
      <c r="D122" s="494"/>
      <c r="E122" s="494"/>
      <c r="F122" s="494"/>
      <c r="G122" s="494"/>
      <c r="H122" s="494"/>
      <c r="I122" s="494"/>
      <c r="J122" s="494"/>
      <c r="K122" s="494"/>
      <c r="L122" s="494"/>
      <c r="M122" s="494"/>
      <c r="N122" s="494"/>
      <c r="O122" s="494"/>
      <c r="P122" s="494"/>
      <c r="Q122" s="494"/>
      <c r="R122" s="494"/>
      <c r="S122" s="495"/>
    </row>
    <row r="123" spans="2:20" ht="41.25" customHeight="1" x14ac:dyDescent="0.2">
      <c r="B123" s="490" t="s">
        <v>513</v>
      </c>
      <c r="C123" s="491"/>
      <c r="D123" s="491"/>
      <c r="E123" s="491"/>
      <c r="F123" s="491"/>
      <c r="G123" s="491"/>
      <c r="H123" s="491"/>
      <c r="I123" s="491"/>
      <c r="J123" s="491"/>
      <c r="K123" s="491"/>
      <c r="L123" s="491"/>
      <c r="M123" s="491"/>
      <c r="N123" s="491"/>
      <c r="O123" s="491"/>
      <c r="P123" s="491"/>
      <c r="Q123" s="491"/>
      <c r="R123" s="491"/>
      <c r="S123" s="492"/>
      <c r="T123" s="469"/>
    </row>
    <row r="124" spans="2:20" ht="15" customHeight="1" x14ac:dyDescent="0.2">
      <c r="B124" s="85"/>
      <c r="C124" s="85"/>
      <c r="D124" s="85"/>
      <c r="E124" s="85"/>
      <c r="F124" s="85"/>
      <c r="G124" s="85"/>
      <c r="H124" s="85"/>
      <c r="I124" s="85"/>
      <c r="J124" s="85"/>
      <c r="K124" s="85"/>
      <c r="L124" s="85"/>
      <c r="M124" s="85"/>
      <c r="N124" s="85"/>
      <c r="O124" s="85"/>
      <c r="P124" s="64"/>
      <c r="Q124" s="64"/>
      <c r="R124" s="64"/>
      <c r="S124" s="64"/>
    </row>
    <row r="125" spans="2:20" ht="15.75" x14ac:dyDescent="0.2">
      <c r="B125" s="505" t="s">
        <v>435</v>
      </c>
      <c r="C125" s="506"/>
      <c r="D125" s="506"/>
      <c r="E125" s="506"/>
      <c r="F125" s="506"/>
      <c r="G125" s="506"/>
      <c r="H125" s="506"/>
      <c r="I125" s="506"/>
      <c r="J125" s="506"/>
      <c r="K125" s="506"/>
      <c r="L125" s="506"/>
      <c r="M125" s="506"/>
      <c r="N125" s="506"/>
      <c r="O125" s="506"/>
      <c r="P125" s="506"/>
      <c r="Q125" s="506"/>
      <c r="R125" s="506"/>
      <c r="S125" s="507"/>
    </row>
    <row r="126" spans="2:20" ht="31.5" customHeight="1" x14ac:dyDescent="0.2">
      <c r="B126" s="490" t="s">
        <v>483</v>
      </c>
      <c r="C126" s="491"/>
      <c r="D126" s="491"/>
      <c r="E126" s="491"/>
      <c r="F126" s="491"/>
      <c r="G126" s="491"/>
      <c r="H126" s="491"/>
      <c r="I126" s="491"/>
      <c r="J126" s="491"/>
      <c r="K126" s="491"/>
      <c r="L126" s="491"/>
      <c r="M126" s="491"/>
      <c r="N126" s="491"/>
      <c r="O126" s="491"/>
      <c r="P126" s="491"/>
      <c r="Q126" s="491"/>
      <c r="R126" s="491"/>
      <c r="S126" s="492"/>
      <c r="T126" s="469"/>
    </row>
    <row r="127" spans="2:20" ht="15" customHeight="1" x14ac:dyDescent="0.2">
      <c r="B127" s="520"/>
      <c r="C127" s="520"/>
      <c r="D127" s="520"/>
      <c r="E127" s="520"/>
      <c r="F127" s="520"/>
      <c r="G127" s="520"/>
      <c r="H127" s="520"/>
      <c r="I127" s="520"/>
      <c r="J127" s="520"/>
      <c r="K127" s="520"/>
      <c r="L127" s="520"/>
      <c r="M127" s="520"/>
      <c r="N127" s="520"/>
      <c r="O127" s="520"/>
      <c r="P127" s="520"/>
      <c r="Q127" s="520"/>
      <c r="R127" s="520"/>
      <c r="S127" s="520"/>
    </row>
    <row r="128" spans="2:20" ht="15.75" x14ac:dyDescent="0.25">
      <c r="B128" s="493" t="s">
        <v>436</v>
      </c>
      <c r="C128" s="494"/>
      <c r="D128" s="494"/>
      <c r="E128" s="494"/>
      <c r="F128" s="494"/>
      <c r="G128" s="494"/>
      <c r="H128" s="494"/>
      <c r="I128" s="494"/>
      <c r="J128" s="494"/>
      <c r="K128" s="494"/>
      <c r="L128" s="494"/>
      <c r="M128" s="494"/>
      <c r="N128" s="494"/>
      <c r="O128" s="494"/>
      <c r="P128" s="494"/>
      <c r="Q128" s="494"/>
      <c r="R128" s="494"/>
      <c r="S128" s="495"/>
    </row>
    <row r="129" spans="2:20" ht="34.5" customHeight="1" x14ac:dyDescent="0.2">
      <c r="B129" s="490" t="s">
        <v>512</v>
      </c>
      <c r="C129" s="491"/>
      <c r="D129" s="491"/>
      <c r="E129" s="491"/>
      <c r="F129" s="491"/>
      <c r="G129" s="491"/>
      <c r="H129" s="491"/>
      <c r="I129" s="491"/>
      <c r="J129" s="491"/>
      <c r="K129" s="491"/>
      <c r="L129" s="491"/>
      <c r="M129" s="491"/>
      <c r="N129" s="491"/>
      <c r="O129" s="491"/>
      <c r="P129" s="491"/>
      <c r="Q129" s="491"/>
      <c r="R129" s="491"/>
      <c r="S129" s="492"/>
    </row>
    <row r="130" spans="2:20" ht="15" customHeight="1" x14ac:dyDescent="0.2">
      <c r="B130" s="85"/>
      <c r="C130" s="85"/>
      <c r="D130" s="85"/>
      <c r="E130" s="85"/>
      <c r="F130" s="85"/>
      <c r="G130" s="85"/>
      <c r="H130" s="85"/>
      <c r="I130" s="85"/>
      <c r="J130" s="85"/>
      <c r="K130" s="85"/>
      <c r="L130" s="85"/>
      <c r="M130" s="85"/>
      <c r="N130" s="85"/>
      <c r="O130" s="85"/>
      <c r="P130" s="64"/>
      <c r="Q130" s="64"/>
      <c r="R130" s="64"/>
      <c r="S130" s="64"/>
    </row>
    <row r="131" spans="2:20" ht="15.75" x14ac:dyDescent="0.25">
      <c r="B131" s="493" t="s">
        <v>437</v>
      </c>
      <c r="C131" s="494"/>
      <c r="D131" s="494"/>
      <c r="E131" s="494"/>
      <c r="F131" s="494"/>
      <c r="G131" s="494"/>
      <c r="H131" s="494"/>
      <c r="I131" s="494"/>
      <c r="J131" s="494"/>
      <c r="K131" s="494"/>
      <c r="L131" s="494"/>
      <c r="M131" s="494"/>
      <c r="N131" s="494"/>
      <c r="O131" s="494"/>
      <c r="P131" s="494"/>
      <c r="Q131" s="494"/>
      <c r="R131" s="494"/>
      <c r="S131" s="495"/>
    </row>
    <row r="132" spans="2:20" ht="95.25" customHeight="1" x14ac:dyDescent="0.2">
      <c r="B132" s="490" t="s">
        <v>484</v>
      </c>
      <c r="C132" s="491"/>
      <c r="D132" s="491"/>
      <c r="E132" s="491"/>
      <c r="F132" s="491"/>
      <c r="G132" s="491"/>
      <c r="H132" s="491"/>
      <c r="I132" s="491"/>
      <c r="J132" s="491"/>
      <c r="K132" s="491"/>
      <c r="L132" s="491"/>
      <c r="M132" s="491"/>
      <c r="N132" s="491"/>
      <c r="O132" s="491"/>
      <c r="P132" s="491"/>
      <c r="Q132" s="491"/>
      <c r="R132" s="491"/>
      <c r="S132" s="492"/>
    </row>
    <row r="133" spans="2:20" ht="15" x14ac:dyDescent="0.2">
      <c r="B133" s="442"/>
      <c r="C133" s="442"/>
      <c r="D133" s="442"/>
      <c r="E133" s="442"/>
      <c r="F133" s="442"/>
      <c r="G133" s="442"/>
      <c r="H133" s="442"/>
      <c r="I133" s="442"/>
      <c r="J133" s="442"/>
      <c r="K133" s="442"/>
      <c r="L133" s="442"/>
      <c r="M133" s="442"/>
      <c r="N133" s="442"/>
      <c r="O133" s="442"/>
      <c r="P133" s="442"/>
      <c r="Q133" s="442"/>
      <c r="R133" s="442"/>
      <c r="S133" s="442"/>
    </row>
    <row r="134" spans="2:20" ht="15" customHeight="1" x14ac:dyDescent="0.25">
      <c r="B134" s="493" t="s">
        <v>438</v>
      </c>
      <c r="C134" s="494"/>
      <c r="D134" s="494"/>
      <c r="E134" s="494"/>
      <c r="F134" s="494"/>
      <c r="G134" s="494"/>
      <c r="H134" s="494"/>
      <c r="I134" s="494"/>
      <c r="J134" s="494"/>
      <c r="K134" s="494"/>
      <c r="L134" s="494"/>
      <c r="M134" s="494"/>
      <c r="N134" s="494"/>
      <c r="O134" s="494"/>
      <c r="P134" s="494"/>
      <c r="Q134" s="494"/>
      <c r="R134" s="494"/>
      <c r="S134" s="495"/>
    </row>
    <row r="135" spans="2:20" ht="80.25" customHeight="1" x14ac:dyDescent="0.2">
      <c r="B135" s="490" t="s">
        <v>519</v>
      </c>
      <c r="C135" s="491"/>
      <c r="D135" s="491"/>
      <c r="E135" s="491"/>
      <c r="F135" s="491"/>
      <c r="G135" s="491"/>
      <c r="H135" s="491"/>
      <c r="I135" s="491"/>
      <c r="J135" s="491"/>
      <c r="K135" s="491"/>
      <c r="L135" s="491"/>
      <c r="M135" s="491"/>
      <c r="N135" s="491"/>
      <c r="O135" s="491"/>
      <c r="P135" s="491"/>
      <c r="Q135" s="491"/>
      <c r="R135" s="491"/>
      <c r="S135" s="492"/>
      <c r="T135" s="469" t="s">
        <v>485</v>
      </c>
    </row>
    <row r="136" spans="2:20" ht="15" customHeight="1" x14ac:dyDescent="0.2">
      <c r="B136" s="85"/>
      <c r="C136" s="85"/>
      <c r="D136" s="85"/>
      <c r="E136" s="85"/>
      <c r="F136" s="85"/>
      <c r="G136" s="85"/>
      <c r="H136" s="85"/>
      <c r="I136" s="85"/>
      <c r="J136" s="85"/>
      <c r="K136" s="85"/>
      <c r="L136" s="85"/>
      <c r="M136" s="85"/>
      <c r="N136" s="85"/>
      <c r="O136" s="85"/>
      <c r="P136" s="64"/>
      <c r="Q136" s="64"/>
      <c r="R136" s="64"/>
      <c r="S136" s="64"/>
    </row>
    <row r="137" spans="2:20" ht="15.75" x14ac:dyDescent="0.25">
      <c r="B137" s="493" t="s">
        <v>439</v>
      </c>
      <c r="C137" s="494"/>
      <c r="D137" s="494"/>
      <c r="E137" s="494"/>
      <c r="F137" s="494"/>
      <c r="G137" s="494"/>
      <c r="H137" s="494"/>
      <c r="I137" s="494"/>
      <c r="J137" s="494"/>
      <c r="K137" s="494"/>
      <c r="L137" s="494"/>
      <c r="M137" s="494"/>
      <c r="N137" s="494"/>
      <c r="O137" s="494"/>
      <c r="P137" s="494"/>
      <c r="Q137" s="494"/>
      <c r="R137" s="494"/>
      <c r="S137" s="495"/>
    </row>
    <row r="138" spans="2:20" ht="82.5" customHeight="1" x14ac:dyDescent="0.2">
      <c r="B138" s="490" t="s">
        <v>486</v>
      </c>
      <c r="C138" s="491"/>
      <c r="D138" s="491"/>
      <c r="E138" s="491"/>
      <c r="F138" s="491"/>
      <c r="G138" s="491"/>
      <c r="H138" s="491"/>
      <c r="I138" s="491"/>
      <c r="J138" s="491"/>
      <c r="K138" s="491"/>
      <c r="L138" s="491"/>
      <c r="M138" s="491"/>
      <c r="N138" s="491"/>
      <c r="O138" s="491"/>
      <c r="P138" s="491"/>
      <c r="Q138" s="491"/>
      <c r="R138" s="491"/>
      <c r="S138" s="492"/>
      <c r="T138" s="470"/>
    </row>
    <row r="139" spans="2:20" ht="15" customHeight="1" x14ac:dyDescent="0.2">
      <c r="B139" s="85"/>
      <c r="C139" s="85"/>
      <c r="D139" s="85"/>
      <c r="E139" s="85"/>
      <c r="F139" s="85"/>
      <c r="G139" s="85"/>
      <c r="H139" s="85"/>
      <c r="I139" s="85"/>
      <c r="J139" s="85"/>
      <c r="K139" s="85"/>
      <c r="L139" s="85"/>
      <c r="M139" s="85"/>
      <c r="N139" s="85"/>
      <c r="O139" s="85"/>
      <c r="P139" s="64"/>
      <c r="Q139" s="64"/>
      <c r="R139" s="64"/>
      <c r="S139" s="64"/>
    </row>
    <row r="140" spans="2:20" ht="15.75" x14ac:dyDescent="0.25">
      <c r="B140" s="493" t="s">
        <v>520</v>
      </c>
      <c r="C140" s="494"/>
      <c r="D140" s="494"/>
      <c r="E140" s="494"/>
      <c r="F140" s="494"/>
      <c r="G140" s="494"/>
      <c r="H140" s="494"/>
      <c r="I140" s="494"/>
      <c r="J140" s="494"/>
      <c r="K140" s="494"/>
      <c r="L140" s="494"/>
      <c r="M140" s="494"/>
      <c r="N140" s="494"/>
      <c r="O140" s="494"/>
      <c r="P140" s="494"/>
      <c r="Q140" s="494"/>
      <c r="R140" s="494"/>
      <c r="S140" s="495"/>
    </row>
    <row r="141" spans="2:20" ht="18.75" customHeight="1" x14ac:dyDescent="0.2">
      <c r="B141" s="490" t="s">
        <v>514</v>
      </c>
      <c r="C141" s="491"/>
      <c r="D141" s="491"/>
      <c r="E141" s="491"/>
      <c r="F141" s="491"/>
      <c r="G141" s="491"/>
      <c r="H141" s="491"/>
      <c r="I141" s="491"/>
      <c r="J141" s="491"/>
      <c r="K141" s="491"/>
      <c r="L141" s="491"/>
      <c r="M141" s="491"/>
      <c r="N141" s="491"/>
      <c r="O141" s="491"/>
      <c r="P141" s="491"/>
      <c r="Q141" s="491"/>
      <c r="R141" s="491"/>
      <c r="S141" s="492"/>
    </row>
    <row r="142" spans="2:20" ht="15" customHeight="1" x14ac:dyDescent="0.2">
      <c r="B142" s="85"/>
      <c r="C142" s="85"/>
      <c r="D142" s="85"/>
      <c r="E142" s="85"/>
      <c r="F142" s="85"/>
      <c r="G142" s="85"/>
      <c r="H142" s="85"/>
      <c r="I142" s="85"/>
      <c r="J142" s="85"/>
      <c r="K142" s="85"/>
      <c r="L142" s="85"/>
      <c r="M142" s="85"/>
      <c r="N142" s="85"/>
      <c r="O142" s="85"/>
      <c r="P142" s="64"/>
      <c r="Q142" s="64"/>
      <c r="R142" s="64"/>
      <c r="S142" s="64"/>
    </row>
    <row r="143" spans="2:20" ht="15.75" x14ac:dyDescent="0.25">
      <c r="B143" s="493" t="s">
        <v>440</v>
      </c>
      <c r="C143" s="494"/>
      <c r="D143" s="494"/>
      <c r="E143" s="494"/>
      <c r="F143" s="494"/>
      <c r="G143" s="494"/>
      <c r="H143" s="494"/>
      <c r="I143" s="494"/>
      <c r="J143" s="494"/>
      <c r="K143" s="494"/>
      <c r="L143" s="494"/>
      <c r="M143" s="494"/>
      <c r="N143" s="494"/>
      <c r="O143" s="494"/>
      <c r="P143" s="494"/>
      <c r="Q143" s="494"/>
      <c r="R143" s="494"/>
      <c r="S143" s="495"/>
    </row>
    <row r="144" spans="2:20" ht="62.25" customHeight="1" x14ac:dyDescent="0.2">
      <c r="B144" s="490" t="s">
        <v>521</v>
      </c>
      <c r="C144" s="491"/>
      <c r="D144" s="491"/>
      <c r="E144" s="491"/>
      <c r="F144" s="491"/>
      <c r="G144" s="491"/>
      <c r="H144" s="491"/>
      <c r="I144" s="491"/>
      <c r="J144" s="491"/>
      <c r="K144" s="491"/>
      <c r="L144" s="491"/>
      <c r="M144" s="491"/>
      <c r="N144" s="491"/>
      <c r="O144" s="491"/>
      <c r="P144" s="491"/>
      <c r="Q144" s="491"/>
      <c r="R144" s="491"/>
      <c r="S144" s="492"/>
      <c r="T144" s="470" t="s">
        <v>485</v>
      </c>
    </row>
    <row r="145" spans="2:20" ht="13.5" customHeight="1" x14ac:dyDescent="0.2">
      <c r="B145" s="442"/>
      <c r="C145" s="442"/>
      <c r="D145" s="442"/>
      <c r="E145" s="442"/>
      <c r="F145" s="442"/>
      <c r="G145" s="442"/>
      <c r="H145" s="442"/>
      <c r="I145" s="442"/>
      <c r="J145" s="442"/>
      <c r="K145" s="442"/>
      <c r="L145" s="442"/>
      <c r="M145" s="442"/>
      <c r="N145" s="442"/>
      <c r="O145" s="442"/>
      <c r="P145" s="442"/>
      <c r="Q145" s="442"/>
      <c r="R145" s="442"/>
      <c r="S145" s="442"/>
    </row>
    <row r="146" spans="2:20" ht="19.5" customHeight="1" x14ac:dyDescent="0.25">
      <c r="B146" s="493" t="s">
        <v>441</v>
      </c>
      <c r="C146" s="494"/>
      <c r="D146" s="494"/>
      <c r="E146" s="494"/>
      <c r="F146" s="494"/>
      <c r="G146" s="494"/>
      <c r="H146" s="494"/>
      <c r="I146" s="494"/>
      <c r="J146" s="494"/>
      <c r="K146" s="494"/>
      <c r="L146" s="494"/>
      <c r="M146" s="494"/>
      <c r="N146" s="494"/>
      <c r="O146" s="494"/>
      <c r="P146" s="494"/>
      <c r="Q146" s="494"/>
      <c r="R146" s="494"/>
      <c r="S146" s="495"/>
    </row>
    <row r="147" spans="2:20" ht="39.950000000000003" customHeight="1" x14ac:dyDescent="0.2">
      <c r="B147" s="490" t="s">
        <v>487</v>
      </c>
      <c r="C147" s="491"/>
      <c r="D147" s="491"/>
      <c r="E147" s="491"/>
      <c r="F147" s="491"/>
      <c r="G147" s="491"/>
      <c r="H147" s="491"/>
      <c r="I147" s="491"/>
      <c r="J147" s="491"/>
      <c r="K147" s="491"/>
      <c r="L147" s="491"/>
      <c r="M147" s="491"/>
      <c r="N147" s="491"/>
      <c r="O147" s="491"/>
      <c r="P147" s="491"/>
      <c r="Q147" s="491"/>
      <c r="R147" s="491"/>
      <c r="S147" s="492"/>
      <c r="T147" s="470"/>
    </row>
    <row r="148" spans="2:20" ht="15" customHeight="1" x14ac:dyDescent="0.2">
      <c r="B148" s="85"/>
      <c r="C148" s="85"/>
      <c r="D148" s="85"/>
      <c r="E148" s="85"/>
      <c r="F148" s="85"/>
      <c r="G148" s="85"/>
      <c r="H148" s="85"/>
      <c r="I148" s="85"/>
      <c r="J148" s="85"/>
      <c r="K148" s="85"/>
      <c r="L148" s="85"/>
      <c r="M148" s="85"/>
      <c r="N148" s="85"/>
      <c r="O148" s="85"/>
      <c r="P148" s="64"/>
      <c r="Q148" s="64"/>
      <c r="R148" s="64"/>
      <c r="S148" s="64"/>
    </row>
    <row r="149" spans="2:20" ht="15.75" x14ac:dyDescent="0.2">
      <c r="B149" s="87" t="s">
        <v>442</v>
      </c>
      <c r="C149" s="88"/>
      <c r="D149" s="88"/>
      <c r="E149" s="88"/>
      <c r="F149" s="88"/>
      <c r="G149" s="88"/>
      <c r="H149" s="88"/>
      <c r="I149" s="88"/>
      <c r="J149" s="88"/>
      <c r="K149" s="88"/>
      <c r="L149" s="88"/>
      <c r="M149" s="88"/>
      <c r="N149" s="88"/>
      <c r="O149" s="88"/>
      <c r="P149" s="81"/>
      <c r="Q149" s="81"/>
      <c r="R149" s="81"/>
      <c r="S149" s="82"/>
    </row>
    <row r="150" spans="2:20" ht="77.25" customHeight="1" x14ac:dyDescent="0.2">
      <c r="B150" s="490" t="s">
        <v>382</v>
      </c>
      <c r="C150" s="491"/>
      <c r="D150" s="491"/>
      <c r="E150" s="491"/>
      <c r="F150" s="491"/>
      <c r="G150" s="491"/>
      <c r="H150" s="491"/>
      <c r="I150" s="491"/>
      <c r="J150" s="491"/>
      <c r="K150" s="491"/>
      <c r="L150" s="491"/>
      <c r="M150" s="491"/>
      <c r="N150" s="491"/>
      <c r="O150" s="491"/>
      <c r="P150" s="491"/>
      <c r="Q150" s="491"/>
      <c r="R150" s="491"/>
      <c r="S150" s="492"/>
    </row>
    <row r="151" spans="2:20" ht="15" customHeight="1" x14ac:dyDescent="0.2">
      <c r="B151" s="442"/>
      <c r="C151" s="442"/>
      <c r="D151" s="442"/>
      <c r="E151" s="442"/>
      <c r="F151" s="442"/>
      <c r="G151" s="442"/>
      <c r="H151" s="442"/>
      <c r="I151" s="442"/>
      <c r="J151" s="442"/>
      <c r="K151" s="442"/>
      <c r="L151" s="442"/>
      <c r="M151" s="442"/>
      <c r="N151" s="442"/>
      <c r="O151" s="442"/>
      <c r="P151" s="442"/>
      <c r="Q151" s="442"/>
      <c r="R151" s="442"/>
      <c r="S151" s="442"/>
    </row>
    <row r="152" spans="2:20" ht="15.75" x14ac:dyDescent="0.25">
      <c r="B152" s="493" t="s">
        <v>443</v>
      </c>
      <c r="C152" s="494"/>
      <c r="D152" s="494"/>
      <c r="E152" s="494"/>
      <c r="F152" s="494"/>
      <c r="G152" s="494"/>
      <c r="H152" s="494"/>
      <c r="I152" s="494"/>
      <c r="J152" s="494"/>
      <c r="K152" s="494"/>
      <c r="L152" s="494"/>
      <c r="M152" s="494"/>
      <c r="N152" s="494"/>
      <c r="O152" s="494"/>
      <c r="P152" s="494"/>
      <c r="Q152" s="494"/>
      <c r="R152" s="494"/>
      <c r="S152" s="495"/>
      <c r="T152" s="539"/>
    </row>
    <row r="153" spans="2:20" ht="35.25" customHeight="1" x14ac:dyDescent="0.2">
      <c r="B153" s="490" t="s">
        <v>517</v>
      </c>
      <c r="C153" s="491"/>
      <c r="D153" s="491"/>
      <c r="E153" s="491"/>
      <c r="F153" s="491"/>
      <c r="G153" s="491"/>
      <c r="H153" s="491"/>
      <c r="I153" s="491"/>
      <c r="J153" s="491"/>
      <c r="K153" s="491"/>
      <c r="L153" s="491"/>
      <c r="M153" s="491"/>
      <c r="N153" s="491"/>
      <c r="O153" s="491"/>
      <c r="P153" s="491"/>
      <c r="Q153" s="491"/>
      <c r="R153" s="491"/>
      <c r="S153" s="492"/>
      <c r="T153" s="539"/>
    </row>
    <row r="154" spans="2:20" ht="15.75" x14ac:dyDescent="0.25">
      <c r="B154" s="72"/>
      <c r="C154" s="72"/>
      <c r="D154" s="441"/>
      <c r="E154" s="441"/>
      <c r="F154" s="441"/>
      <c r="G154" s="441"/>
      <c r="H154" s="441"/>
      <c r="I154" s="441"/>
      <c r="J154" s="441"/>
      <c r="K154" s="441"/>
      <c r="L154" s="441"/>
      <c r="M154" s="441"/>
      <c r="N154" s="441"/>
      <c r="O154" s="441"/>
      <c r="P154" s="64"/>
      <c r="Q154" s="64"/>
      <c r="R154" s="64"/>
      <c r="S154" s="64"/>
    </row>
    <row r="155" spans="2:20" ht="15" x14ac:dyDescent="0.2">
      <c r="B155" s="441"/>
      <c r="C155" s="441"/>
      <c r="D155" s="441"/>
      <c r="E155" s="441"/>
      <c r="F155" s="441"/>
      <c r="G155" s="441"/>
      <c r="H155" s="441"/>
      <c r="I155" s="441"/>
      <c r="J155" s="441"/>
      <c r="K155" s="441"/>
      <c r="L155" s="441"/>
      <c r="M155" s="441"/>
      <c r="N155" s="441"/>
      <c r="O155" s="441"/>
      <c r="P155" s="64"/>
      <c r="Q155" s="64"/>
      <c r="R155" s="64"/>
      <c r="S155" s="64"/>
    </row>
    <row r="156" spans="2:20" ht="15.75" x14ac:dyDescent="0.25">
      <c r="B156" s="72" t="s">
        <v>146</v>
      </c>
      <c r="C156" s="72"/>
      <c r="D156" s="441"/>
      <c r="E156" s="441"/>
      <c r="F156" s="441"/>
      <c r="G156" s="441"/>
      <c r="H156" s="441"/>
      <c r="I156" s="441"/>
      <c r="J156" s="441"/>
      <c r="K156" s="441"/>
      <c r="L156" s="441"/>
      <c r="M156" s="441"/>
      <c r="N156" s="441"/>
      <c r="O156" s="441"/>
      <c r="P156" s="64"/>
      <c r="Q156" s="64"/>
      <c r="R156" s="64"/>
      <c r="S156" s="64"/>
    </row>
    <row r="157" spans="2:20" ht="15.75" x14ac:dyDescent="0.25">
      <c r="B157" s="72"/>
      <c r="C157" s="72"/>
      <c r="D157" s="441"/>
      <c r="E157" s="441"/>
      <c r="F157" s="441"/>
      <c r="G157" s="441"/>
      <c r="H157" s="441"/>
      <c r="I157" s="441"/>
      <c r="J157" s="441"/>
      <c r="K157" s="441"/>
      <c r="L157" s="441"/>
      <c r="M157" s="441"/>
      <c r="N157" s="441"/>
      <c r="O157" s="441"/>
      <c r="P157" s="64"/>
      <c r="Q157" s="64"/>
      <c r="R157" s="64"/>
      <c r="S157" s="64"/>
    </row>
    <row r="158" spans="2:20" ht="15.75" x14ac:dyDescent="0.25">
      <c r="B158" s="493" t="s">
        <v>444</v>
      </c>
      <c r="C158" s="494"/>
      <c r="D158" s="494"/>
      <c r="E158" s="494"/>
      <c r="F158" s="494"/>
      <c r="G158" s="494"/>
      <c r="H158" s="494"/>
      <c r="I158" s="494"/>
      <c r="J158" s="494"/>
      <c r="K158" s="494"/>
      <c r="L158" s="494"/>
      <c r="M158" s="494"/>
      <c r="N158" s="494"/>
      <c r="O158" s="494"/>
      <c r="P158" s="494"/>
      <c r="Q158" s="494"/>
      <c r="R158" s="494"/>
      <c r="S158" s="495"/>
    </row>
    <row r="159" spans="2:20" ht="36.950000000000003" customHeight="1" x14ac:dyDescent="0.2">
      <c r="B159" s="496" t="s">
        <v>445</v>
      </c>
      <c r="C159" s="497"/>
      <c r="D159" s="497"/>
      <c r="E159" s="497"/>
      <c r="F159" s="497"/>
      <c r="G159" s="497"/>
      <c r="H159" s="497"/>
      <c r="I159" s="497"/>
      <c r="J159" s="497"/>
      <c r="K159" s="497"/>
      <c r="L159" s="497"/>
      <c r="M159" s="497"/>
      <c r="N159" s="497"/>
      <c r="O159" s="497"/>
      <c r="P159" s="497"/>
      <c r="Q159" s="497"/>
      <c r="R159" s="497"/>
      <c r="S159" s="498"/>
    </row>
    <row r="160" spans="2:20" ht="15" x14ac:dyDescent="0.2">
      <c r="B160" s="441"/>
      <c r="C160" s="441"/>
      <c r="D160" s="441"/>
      <c r="E160" s="441"/>
      <c r="F160" s="441"/>
      <c r="G160" s="441"/>
      <c r="H160" s="441"/>
      <c r="I160" s="441"/>
      <c r="J160" s="441"/>
      <c r="K160" s="441"/>
      <c r="L160" s="441"/>
      <c r="M160" s="441"/>
      <c r="N160" s="441"/>
      <c r="O160" s="441"/>
      <c r="P160" s="64"/>
      <c r="Q160" s="64"/>
      <c r="R160" s="64"/>
      <c r="S160" s="64"/>
    </row>
    <row r="161" spans="2:20" ht="15.75" x14ac:dyDescent="0.25">
      <c r="B161" s="493" t="s">
        <v>447</v>
      </c>
      <c r="C161" s="494"/>
      <c r="D161" s="494"/>
      <c r="E161" s="494"/>
      <c r="F161" s="494"/>
      <c r="G161" s="494"/>
      <c r="H161" s="494"/>
      <c r="I161" s="494"/>
      <c r="J161" s="494"/>
      <c r="K161" s="494"/>
      <c r="L161" s="494"/>
      <c r="M161" s="494"/>
      <c r="N161" s="494"/>
      <c r="O161" s="494"/>
      <c r="P161" s="494"/>
      <c r="Q161" s="494"/>
      <c r="R161" s="494"/>
      <c r="S161" s="495"/>
    </row>
    <row r="162" spans="2:20" ht="48.75" customHeight="1" x14ac:dyDescent="0.2">
      <c r="B162" s="540" t="s">
        <v>488</v>
      </c>
      <c r="C162" s="541"/>
      <c r="D162" s="541"/>
      <c r="E162" s="541"/>
      <c r="F162" s="541"/>
      <c r="G162" s="541"/>
      <c r="H162" s="541"/>
      <c r="I162" s="541"/>
      <c r="J162" s="541"/>
      <c r="K162" s="541"/>
      <c r="L162" s="541"/>
      <c r="M162" s="541"/>
      <c r="N162" s="541"/>
      <c r="O162" s="541"/>
      <c r="P162" s="541"/>
      <c r="Q162" s="541"/>
      <c r="R162" s="541"/>
      <c r="S162" s="542"/>
      <c r="T162" s="227"/>
    </row>
    <row r="163" spans="2:20" ht="15" x14ac:dyDescent="0.2">
      <c r="B163" s="441"/>
      <c r="C163" s="441"/>
      <c r="D163" s="441"/>
      <c r="E163" s="441"/>
      <c r="F163" s="441"/>
      <c r="G163" s="441"/>
      <c r="H163" s="441"/>
      <c r="I163" s="441"/>
      <c r="J163" s="441"/>
      <c r="K163" s="441"/>
      <c r="L163" s="441"/>
      <c r="M163" s="441"/>
      <c r="N163" s="441"/>
      <c r="O163" s="441"/>
      <c r="P163" s="64"/>
      <c r="Q163" s="64"/>
      <c r="R163" s="64"/>
      <c r="S163" s="64"/>
    </row>
    <row r="164" spans="2:20" ht="15.75" x14ac:dyDescent="0.25">
      <c r="B164" s="493" t="s">
        <v>446</v>
      </c>
      <c r="C164" s="494"/>
      <c r="D164" s="494"/>
      <c r="E164" s="494"/>
      <c r="F164" s="494"/>
      <c r="G164" s="494"/>
      <c r="H164" s="494"/>
      <c r="I164" s="494"/>
      <c r="J164" s="494"/>
      <c r="K164" s="494"/>
      <c r="L164" s="494"/>
      <c r="M164" s="494"/>
      <c r="N164" s="494"/>
      <c r="O164" s="494"/>
      <c r="P164" s="494"/>
      <c r="Q164" s="494"/>
      <c r="R164" s="494"/>
      <c r="S164" s="495"/>
    </row>
    <row r="165" spans="2:20" ht="15" x14ac:dyDescent="0.2">
      <c r="B165" s="524" t="s">
        <v>383</v>
      </c>
      <c r="C165" s="500"/>
      <c r="D165" s="500"/>
      <c r="E165" s="500"/>
      <c r="F165" s="500"/>
      <c r="G165" s="500"/>
      <c r="H165" s="500"/>
      <c r="I165" s="500"/>
      <c r="J165" s="500"/>
      <c r="K165" s="500"/>
      <c r="L165" s="500"/>
      <c r="M165" s="500"/>
      <c r="N165" s="500"/>
      <c r="O165" s="500"/>
      <c r="P165" s="500"/>
      <c r="Q165" s="500"/>
      <c r="R165" s="500"/>
      <c r="S165" s="501"/>
    </row>
    <row r="166" spans="2:20" ht="15" x14ac:dyDescent="0.2">
      <c r="B166" s="441"/>
      <c r="C166" s="441"/>
      <c r="D166" s="441"/>
      <c r="E166" s="441"/>
      <c r="F166" s="441"/>
      <c r="G166" s="441"/>
      <c r="H166" s="441"/>
      <c r="I166" s="441"/>
      <c r="J166" s="441"/>
      <c r="K166" s="441"/>
      <c r="L166" s="441"/>
      <c r="M166" s="441"/>
      <c r="N166" s="441"/>
      <c r="O166" s="441"/>
      <c r="P166" s="64"/>
      <c r="Q166" s="64"/>
      <c r="R166" s="64"/>
      <c r="S166" s="64"/>
    </row>
    <row r="167" spans="2:20" ht="15.75" x14ac:dyDescent="0.25">
      <c r="B167" s="493" t="s">
        <v>448</v>
      </c>
      <c r="C167" s="494"/>
      <c r="D167" s="494"/>
      <c r="E167" s="494"/>
      <c r="F167" s="494"/>
      <c r="G167" s="494"/>
      <c r="H167" s="494"/>
      <c r="I167" s="494"/>
      <c r="J167" s="494"/>
      <c r="K167" s="494"/>
      <c r="L167" s="494"/>
      <c r="M167" s="494"/>
      <c r="N167" s="494"/>
      <c r="O167" s="494"/>
      <c r="P167" s="494"/>
      <c r="Q167" s="494"/>
      <c r="R167" s="494"/>
      <c r="S167" s="495"/>
    </row>
    <row r="168" spans="2:20" ht="45" customHeight="1" x14ac:dyDescent="0.2">
      <c r="B168" s="490" t="s">
        <v>489</v>
      </c>
      <c r="C168" s="491"/>
      <c r="D168" s="491"/>
      <c r="E168" s="491"/>
      <c r="F168" s="491"/>
      <c r="G168" s="491"/>
      <c r="H168" s="491"/>
      <c r="I168" s="491"/>
      <c r="J168" s="491"/>
      <c r="K168" s="491"/>
      <c r="L168" s="491"/>
      <c r="M168" s="491"/>
      <c r="N168" s="491"/>
      <c r="O168" s="491"/>
      <c r="P168" s="491"/>
      <c r="Q168" s="491"/>
      <c r="R168" s="491"/>
      <c r="S168" s="492"/>
    </row>
    <row r="169" spans="2:20" ht="15" customHeight="1" x14ac:dyDescent="0.2">
      <c r="B169" s="441"/>
      <c r="C169" s="441"/>
      <c r="D169" s="441"/>
      <c r="E169" s="441"/>
      <c r="F169" s="441"/>
      <c r="G169" s="441"/>
      <c r="H169" s="441"/>
      <c r="I169" s="441"/>
      <c r="J169" s="441"/>
      <c r="K169" s="441"/>
      <c r="L169" s="441"/>
      <c r="M169" s="441"/>
      <c r="N169" s="441"/>
      <c r="O169" s="441"/>
      <c r="P169" s="64"/>
      <c r="Q169" s="64"/>
      <c r="R169" s="64"/>
      <c r="S169" s="64"/>
    </row>
    <row r="170" spans="2:20" ht="15.75" x14ac:dyDescent="0.25">
      <c r="B170" s="493" t="s">
        <v>449</v>
      </c>
      <c r="C170" s="494"/>
      <c r="D170" s="494"/>
      <c r="E170" s="494"/>
      <c r="F170" s="494"/>
      <c r="G170" s="494"/>
      <c r="H170" s="494"/>
      <c r="I170" s="494"/>
      <c r="J170" s="494"/>
      <c r="K170" s="494"/>
      <c r="L170" s="494"/>
      <c r="M170" s="494"/>
      <c r="N170" s="494"/>
      <c r="O170" s="494"/>
      <c r="P170" s="494"/>
      <c r="Q170" s="494"/>
      <c r="R170" s="494"/>
      <c r="S170" s="495"/>
    </row>
    <row r="171" spans="2:20" ht="108.75" customHeight="1" x14ac:dyDescent="0.2">
      <c r="B171" s="499" t="s">
        <v>490</v>
      </c>
      <c r="C171" s="543"/>
      <c r="D171" s="543"/>
      <c r="E171" s="543"/>
      <c r="F171" s="543"/>
      <c r="G171" s="543"/>
      <c r="H171" s="543"/>
      <c r="I171" s="543"/>
      <c r="J171" s="543"/>
      <c r="K171" s="543"/>
      <c r="L171" s="543"/>
      <c r="M171" s="543"/>
      <c r="N171" s="543"/>
      <c r="O171" s="543"/>
      <c r="P171" s="543"/>
      <c r="Q171" s="543"/>
      <c r="R171" s="543"/>
      <c r="S171" s="544"/>
      <c r="T171" s="469"/>
    </row>
    <row r="172" spans="2:20" ht="15" x14ac:dyDescent="0.2">
      <c r="B172" s="441"/>
      <c r="C172" s="441"/>
      <c r="D172" s="441"/>
      <c r="E172" s="441"/>
      <c r="F172" s="441"/>
      <c r="G172" s="441"/>
      <c r="H172" s="441"/>
      <c r="I172" s="441"/>
      <c r="J172" s="441"/>
      <c r="K172" s="441"/>
      <c r="L172" s="441"/>
      <c r="M172" s="441"/>
      <c r="N172" s="441"/>
      <c r="O172" s="441"/>
      <c r="P172" s="64"/>
      <c r="Q172" s="64"/>
      <c r="R172" s="64"/>
      <c r="S172" s="64"/>
    </row>
    <row r="173" spans="2:20" ht="15.75" x14ac:dyDescent="0.25">
      <c r="B173" s="493" t="s">
        <v>450</v>
      </c>
      <c r="C173" s="494"/>
      <c r="D173" s="494"/>
      <c r="E173" s="494"/>
      <c r="F173" s="494"/>
      <c r="G173" s="494"/>
      <c r="H173" s="494"/>
      <c r="I173" s="494"/>
      <c r="J173" s="494"/>
      <c r="K173" s="494"/>
      <c r="L173" s="494"/>
      <c r="M173" s="494"/>
      <c r="N173" s="494"/>
      <c r="O173" s="494"/>
      <c r="P173" s="494"/>
      <c r="Q173" s="494"/>
      <c r="R173" s="494"/>
      <c r="S173" s="495"/>
    </row>
    <row r="174" spans="2:20" ht="30.75" customHeight="1" x14ac:dyDescent="0.2">
      <c r="B174" s="490" t="s">
        <v>492</v>
      </c>
      <c r="C174" s="491"/>
      <c r="D174" s="491"/>
      <c r="E174" s="491"/>
      <c r="F174" s="491"/>
      <c r="G174" s="491"/>
      <c r="H174" s="491"/>
      <c r="I174" s="491"/>
      <c r="J174" s="491"/>
      <c r="K174" s="491"/>
      <c r="L174" s="491"/>
      <c r="M174" s="491"/>
      <c r="N174" s="491"/>
      <c r="O174" s="491"/>
      <c r="P174" s="491"/>
      <c r="Q174" s="491"/>
      <c r="R174" s="491"/>
      <c r="S174" s="492"/>
      <c r="T174" s="470"/>
    </row>
    <row r="175" spans="2:20" ht="15" x14ac:dyDescent="0.2">
      <c r="B175" s="442"/>
      <c r="C175" s="442"/>
      <c r="D175" s="442"/>
      <c r="E175" s="442"/>
      <c r="F175" s="442"/>
      <c r="G175" s="442"/>
      <c r="H175" s="442"/>
      <c r="I175" s="442"/>
      <c r="J175" s="442"/>
      <c r="K175" s="442"/>
      <c r="L175" s="442"/>
      <c r="M175" s="442"/>
      <c r="N175" s="442"/>
      <c r="O175" s="442"/>
      <c r="P175" s="442"/>
      <c r="Q175" s="442"/>
      <c r="R175" s="442"/>
      <c r="S175" s="442"/>
    </row>
    <row r="176" spans="2:20" ht="18" customHeight="1" x14ac:dyDescent="0.2">
      <c r="B176" s="502" t="s">
        <v>451</v>
      </c>
      <c r="C176" s="503"/>
      <c r="D176" s="503"/>
      <c r="E176" s="503"/>
      <c r="F176" s="503"/>
      <c r="G176" s="503"/>
      <c r="H176" s="503"/>
      <c r="I176" s="503"/>
      <c r="J176" s="503"/>
      <c r="K176" s="503"/>
      <c r="L176" s="503"/>
      <c r="M176" s="503"/>
      <c r="N176" s="503"/>
      <c r="O176" s="503"/>
      <c r="P176" s="503"/>
      <c r="Q176" s="503"/>
      <c r="R176" s="503"/>
      <c r="S176" s="504"/>
    </row>
    <row r="177" spans="2:20" ht="37.5" customHeight="1" x14ac:dyDescent="0.2">
      <c r="B177" s="490" t="s">
        <v>476</v>
      </c>
      <c r="C177" s="491"/>
      <c r="D177" s="491"/>
      <c r="E177" s="491"/>
      <c r="F177" s="491"/>
      <c r="G177" s="491"/>
      <c r="H177" s="491"/>
      <c r="I177" s="491"/>
      <c r="J177" s="491"/>
      <c r="K177" s="491"/>
      <c r="L177" s="491"/>
      <c r="M177" s="491"/>
      <c r="N177" s="491"/>
      <c r="O177" s="491"/>
      <c r="P177" s="491"/>
      <c r="Q177" s="491"/>
      <c r="R177" s="491"/>
      <c r="S177" s="492"/>
      <c r="T177" s="470"/>
    </row>
    <row r="178" spans="2:20" ht="15" x14ac:dyDescent="0.2">
      <c r="B178" s="455"/>
      <c r="C178" s="442"/>
      <c r="D178" s="442"/>
      <c r="E178" s="442"/>
      <c r="F178" s="442"/>
      <c r="G178" s="442"/>
      <c r="H178" s="442"/>
      <c r="I178" s="442"/>
      <c r="J178" s="442"/>
      <c r="K178" s="442"/>
      <c r="L178" s="442"/>
      <c r="M178" s="442"/>
      <c r="N178" s="442"/>
      <c r="O178" s="442"/>
      <c r="P178" s="442"/>
      <c r="Q178" s="442"/>
      <c r="R178" s="442"/>
      <c r="S178" s="442"/>
    </row>
    <row r="179" spans="2:20" ht="15.75" x14ac:dyDescent="0.2">
      <c r="B179" s="502" t="s">
        <v>452</v>
      </c>
      <c r="C179" s="503"/>
      <c r="D179" s="503"/>
      <c r="E179" s="503"/>
      <c r="F179" s="503"/>
      <c r="G179" s="503"/>
      <c r="H179" s="503"/>
      <c r="I179" s="503"/>
      <c r="J179" s="503"/>
      <c r="K179" s="503"/>
      <c r="L179" s="503"/>
      <c r="M179" s="503"/>
      <c r="N179" s="503"/>
      <c r="O179" s="503"/>
      <c r="P179" s="503"/>
      <c r="Q179" s="503"/>
      <c r="R179" s="503"/>
      <c r="S179" s="504"/>
    </row>
    <row r="180" spans="2:20" ht="50.25" customHeight="1" x14ac:dyDescent="0.2">
      <c r="B180" s="521" t="s">
        <v>477</v>
      </c>
      <c r="C180" s="522"/>
      <c r="D180" s="522"/>
      <c r="E180" s="522"/>
      <c r="F180" s="522"/>
      <c r="G180" s="522"/>
      <c r="H180" s="522"/>
      <c r="I180" s="522"/>
      <c r="J180" s="522"/>
      <c r="K180" s="522"/>
      <c r="L180" s="522"/>
      <c r="M180" s="522"/>
      <c r="N180" s="522"/>
      <c r="O180" s="522"/>
      <c r="P180" s="522"/>
      <c r="Q180" s="522"/>
      <c r="R180" s="522"/>
      <c r="S180" s="523"/>
      <c r="T180" s="470"/>
    </row>
    <row r="181" spans="2:20" ht="15" customHeight="1" x14ac:dyDescent="0.2">
      <c r="B181" s="441"/>
      <c r="C181" s="441"/>
      <c r="D181" s="441"/>
      <c r="E181" s="441"/>
      <c r="F181" s="441"/>
      <c r="G181" s="441"/>
      <c r="H181" s="441"/>
      <c r="I181" s="441"/>
      <c r="J181" s="441"/>
      <c r="K181" s="441"/>
      <c r="L181" s="441"/>
      <c r="M181" s="441"/>
      <c r="N181" s="441"/>
      <c r="O181" s="441"/>
      <c r="P181" s="64"/>
      <c r="Q181" s="64"/>
      <c r="R181" s="64"/>
      <c r="S181" s="64"/>
    </row>
    <row r="182" spans="2:20" ht="15.75" x14ac:dyDescent="0.25">
      <c r="B182" s="493" t="s">
        <v>453</v>
      </c>
      <c r="C182" s="494"/>
      <c r="D182" s="494"/>
      <c r="E182" s="494"/>
      <c r="F182" s="494"/>
      <c r="G182" s="494"/>
      <c r="H182" s="494"/>
      <c r="I182" s="494"/>
      <c r="J182" s="494"/>
      <c r="K182" s="494"/>
      <c r="L182" s="494"/>
      <c r="M182" s="494"/>
      <c r="N182" s="494"/>
      <c r="O182" s="494"/>
      <c r="P182" s="494"/>
      <c r="Q182" s="494"/>
      <c r="R182" s="494"/>
      <c r="S182" s="495"/>
    </row>
    <row r="183" spans="2:20" ht="45.75" customHeight="1" x14ac:dyDescent="0.2">
      <c r="B183" s="490" t="s">
        <v>493</v>
      </c>
      <c r="C183" s="491"/>
      <c r="D183" s="491"/>
      <c r="E183" s="491"/>
      <c r="F183" s="491"/>
      <c r="G183" s="491"/>
      <c r="H183" s="491"/>
      <c r="I183" s="491"/>
      <c r="J183" s="491"/>
      <c r="K183" s="491"/>
      <c r="L183" s="491"/>
      <c r="M183" s="491"/>
      <c r="N183" s="491"/>
      <c r="O183" s="491"/>
      <c r="P183" s="491"/>
      <c r="Q183" s="491"/>
      <c r="R183" s="491"/>
      <c r="S183" s="492"/>
      <c r="T183" s="469"/>
    </row>
    <row r="184" spans="2:20" ht="15" x14ac:dyDescent="0.2">
      <c r="B184" s="441"/>
      <c r="C184" s="441"/>
      <c r="D184" s="441"/>
      <c r="E184" s="441"/>
      <c r="F184" s="441"/>
      <c r="G184" s="441"/>
      <c r="H184" s="441"/>
      <c r="I184" s="441"/>
      <c r="J184" s="441"/>
      <c r="K184" s="441"/>
      <c r="L184" s="441"/>
      <c r="M184" s="441"/>
      <c r="N184" s="441"/>
      <c r="O184" s="441"/>
      <c r="P184" s="64"/>
      <c r="Q184" s="64"/>
      <c r="R184" s="64"/>
      <c r="S184" s="64"/>
    </row>
    <row r="185" spans="2:20" ht="15.75" x14ac:dyDescent="0.25">
      <c r="B185" s="493" t="s">
        <v>454</v>
      </c>
      <c r="C185" s="494"/>
      <c r="D185" s="494"/>
      <c r="E185" s="494"/>
      <c r="F185" s="494"/>
      <c r="G185" s="494"/>
      <c r="H185" s="494"/>
      <c r="I185" s="494"/>
      <c r="J185" s="494"/>
      <c r="K185" s="494"/>
      <c r="L185" s="494"/>
      <c r="M185" s="494"/>
      <c r="N185" s="494"/>
      <c r="O185" s="494"/>
      <c r="P185" s="494"/>
      <c r="Q185" s="494"/>
      <c r="R185" s="494"/>
      <c r="S185" s="495"/>
    </row>
    <row r="186" spans="2:20" ht="403.5" customHeight="1" x14ac:dyDescent="0.2">
      <c r="B186" s="490" t="s">
        <v>523</v>
      </c>
      <c r="C186" s="491"/>
      <c r="D186" s="491"/>
      <c r="E186" s="491"/>
      <c r="F186" s="491"/>
      <c r="G186" s="491"/>
      <c r="H186" s="491"/>
      <c r="I186" s="491"/>
      <c r="J186" s="491"/>
      <c r="K186" s="491"/>
      <c r="L186" s="491"/>
      <c r="M186" s="491"/>
      <c r="N186" s="491"/>
      <c r="O186" s="491"/>
      <c r="P186" s="491"/>
      <c r="Q186" s="491"/>
      <c r="R186" s="491"/>
      <c r="S186" s="492"/>
      <c r="T186" s="469"/>
    </row>
    <row r="187" spans="2:20" ht="15" customHeight="1" x14ac:dyDescent="0.2">
      <c r="B187" s="441"/>
      <c r="C187" s="441"/>
      <c r="D187" s="441"/>
      <c r="E187" s="441"/>
      <c r="F187" s="441"/>
      <c r="G187" s="441"/>
      <c r="H187" s="441"/>
      <c r="I187" s="441"/>
      <c r="J187" s="441"/>
      <c r="K187" s="441"/>
      <c r="L187" s="441"/>
      <c r="M187" s="441"/>
      <c r="N187" s="441"/>
      <c r="O187" s="441"/>
      <c r="P187" s="64"/>
      <c r="Q187" s="64"/>
      <c r="R187" s="64"/>
      <c r="S187" s="64"/>
    </row>
    <row r="188" spans="2:20" ht="15.75" x14ac:dyDescent="0.25">
      <c r="B188" s="493" t="s">
        <v>455</v>
      </c>
      <c r="C188" s="494"/>
      <c r="D188" s="494"/>
      <c r="E188" s="494"/>
      <c r="F188" s="494"/>
      <c r="G188" s="494"/>
      <c r="H188" s="494"/>
      <c r="I188" s="494"/>
      <c r="J188" s="494"/>
      <c r="K188" s="494"/>
      <c r="L188" s="494"/>
      <c r="M188" s="494"/>
      <c r="N188" s="494"/>
      <c r="O188" s="494"/>
      <c r="P188" s="494"/>
      <c r="Q188" s="494"/>
      <c r="R188" s="494"/>
      <c r="S188" s="495"/>
    </row>
    <row r="189" spans="2:20" ht="124.5" customHeight="1" x14ac:dyDescent="0.2">
      <c r="B189" s="490" t="s">
        <v>456</v>
      </c>
      <c r="C189" s="491"/>
      <c r="D189" s="491"/>
      <c r="E189" s="491"/>
      <c r="F189" s="491"/>
      <c r="G189" s="491"/>
      <c r="H189" s="491"/>
      <c r="I189" s="491"/>
      <c r="J189" s="491"/>
      <c r="K189" s="491"/>
      <c r="L189" s="491"/>
      <c r="M189" s="491"/>
      <c r="N189" s="491"/>
      <c r="O189" s="491"/>
      <c r="P189" s="491"/>
      <c r="Q189" s="491"/>
      <c r="R189" s="491"/>
      <c r="S189" s="492"/>
    </row>
    <row r="190" spans="2:20" ht="15" customHeight="1" x14ac:dyDescent="0.2">
      <c r="B190" s="441"/>
      <c r="C190" s="441"/>
      <c r="D190" s="441"/>
      <c r="E190" s="441"/>
      <c r="F190" s="441"/>
      <c r="G190" s="441"/>
      <c r="H190" s="441"/>
      <c r="I190" s="441"/>
      <c r="J190" s="441"/>
      <c r="K190" s="441"/>
      <c r="L190" s="441"/>
      <c r="M190" s="441"/>
      <c r="N190" s="441"/>
      <c r="O190" s="441"/>
      <c r="P190" s="64"/>
      <c r="Q190" s="64"/>
      <c r="R190" s="64"/>
      <c r="S190" s="64"/>
    </row>
    <row r="191" spans="2:20" ht="15.75" x14ac:dyDescent="0.25">
      <c r="B191" s="493" t="s">
        <v>459</v>
      </c>
      <c r="C191" s="494"/>
      <c r="D191" s="494"/>
      <c r="E191" s="494"/>
      <c r="F191" s="494"/>
      <c r="G191" s="494"/>
      <c r="H191" s="494"/>
      <c r="I191" s="494"/>
      <c r="J191" s="494"/>
      <c r="K191" s="494"/>
      <c r="L191" s="494"/>
      <c r="M191" s="494"/>
      <c r="N191" s="494"/>
      <c r="O191" s="494"/>
      <c r="P191" s="494"/>
      <c r="Q191" s="494"/>
      <c r="R191" s="494"/>
      <c r="S191" s="495"/>
    </row>
    <row r="192" spans="2:20" ht="245.1" customHeight="1" x14ac:dyDescent="0.2">
      <c r="B192" s="521" t="s">
        <v>496</v>
      </c>
      <c r="C192" s="522"/>
      <c r="D192" s="522"/>
      <c r="E192" s="522"/>
      <c r="F192" s="522"/>
      <c r="G192" s="522"/>
      <c r="H192" s="522"/>
      <c r="I192" s="522"/>
      <c r="J192" s="522"/>
      <c r="K192" s="522"/>
      <c r="L192" s="522"/>
      <c r="M192" s="522"/>
      <c r="N192" s="522"/>
      <c r="O192" s="522"/>
      <c r="P192" s="522"/>
      <c r="Q192" s="522"/>
      <c r="R192" s="522"/>
      <c r="S192" s="523"/>
      <c r="T192" s="469" t="s">
        <v>495</v>
      </c>
    </row>
    <row r="193" spans="2:20" ht="15" x14ac:dyDescent="0.2">
      <c r="B193" s="441"/>
      <c r="C193" s="441"/>
      <c r="D193" s="441"/>
      <c r="E193" s="441"/>
      <c r="F193" s="441"/>
      <c r="G193" s="441"/>
      <c r="H193" s="441"/>
      <c r="I193" s="441"/>
      <c r="J193" s="441"/>
      <c r="K193" s="441"/>
      <c r="L193" s="441"/>
      <c r="M193" s="441"/>
      <c r="N193" s="441"/>
      <c r="O193" s="441"/>
      <c r="P193" s="64"/>
      <c r="Q193" s="64"/>
      <c r="R193" s="64"/>
      <c r="S193" s="64"/>
    </row>
    <row r="194" spans="2:20" ht="15.75" x14ac:dyDescent="0.25">
      <c r="B194" s="460" t="s">
        <v>460</v>
      </c>
      <c r="C194" s="84"/>
      <c r="D194" s="84"/>
      <c r="E194" s="84"/>
      <c r="F194" s="84"/>
      <c r="G194" s="84"/>
      <c r="H194" s="84"/>
      <c r="I194" s="84"/>
      <c r="J194" s="84"/>
      <c r="K194" s="84"/>
      <c r="L194" s="84"/>
      <c r="M194" s="84"/>
      <c r="N194" s="84"/>
      <c r="O194" s="84"/>
      <c r="P194" s="81"/>
      <c r="Q194" s="81"/>
      <c r="R194" s="81"/>
      <c r="S194" s="82"/>
    </row>
    <row r="195" spans="2:20" ht="20.25" customHeight="1" x14ac:dyDescent="0.2">
      <c r="B195" s="524" t="s">
        <v>461</v>
      </c>
      <c r="C195" s="500"/>
      <c r="D195" s="500"/>
      <c r="E195" s="500"/>
      <c r="F195" s="500"/>
      <c r="G195" s="500"/>
      <c r="H195" s="500"/>
      <c r="I195" s="500"/>
      <c r="J195" s="500"/>
      <c r="K195" s="500"/>
      <c r="L195" s="500"/>
      <c r="M195" s="500"/>
      <c r="N195" s="500"/>
      <c r="O195" s="500"/>
      <c r="P195" s="500"/>
      <c r="Q195" s="500"/>
      <c r="R195" s="500"/>
      <c r="S195" s="501"/>
    </row>
    <row r="196" spans="2:20" ht="15" x14ac:dyDescent="0.2">
      <c r="B196" s="441"/>
      <c r="C196" s="441"/>
      <c r="D196" s="441"/>
      <c r="E196" s="441"/>
      <c r="F196" s="441"/>
      <c r="G196" s="441"/>
      <c r="H196" s="441"/>
      <c r="I196" s="441"/>
      <c r="J196" s="441"/>
      <c r="K196" s="441"/>
      <c r="L196" s="441"/>
      <c r="M196" s="441"/>
      <c r="N196" s="441"/>
      <c r="O196" s="441"/>
      <c r="P196" s="64"/>
      <c r="Q196" s="64"/>
      <c r="R196" s="64"/>
      <c r="S196" s="64"/>
    </row>
    <row r="197" spans="2:20" ht="15.75" x14ac:dyDescent="0.25">
      <c r="B197" s="460" t="s">
        <v>464</v>
      </c>
      <c r="C197" s="84"/>
      <c r="D197" s="84"/>
      <c r="E197" s="84"/>
      <c r="F197" s="84"/>
      <c r="G197" s="84"/>
      <c r="H197" s="84"/>
      <c r="I197" s="84"/>
      <c r="J197" s="84"/>
      <c r="K197" s="84"/>
      <c r="L197" s="84"/>
      <c r="M197" s="84"/>
      <c r="N197" s="84"/>
      <c r="O197" s="84"/>
      <c r="P197" s="81"/>
      <c r="Q197" s="81"/>
      <c r="R197" s="81"/>
      <c r="S197" s="82"/>
    </row>
    <row r="198" spans="2:20" ht="251.25" customHeight="1" x14ac:dyDescent="0.2">
      <c r="B198" s="490" t="s">
        <v>499</v>
      </c>
      <c r="C198" s="491"/>
      <c r="D198" s="491"/>
      <c r="E198" s="491"/>
      <c r="F198" s="491"/>
      <c r="G198" s="491"/>
      <c r="H198" s="491"/>
      <c r="I198" s="491"/>
      <c r="J198" s="491"/>
      <c r="K198" s="491"/>
      <c r="L198" s="491"/>
      <c r="M198" s="491"/>
      <c r="N198" s="491"/>
      <c r="O198" s="491"/>
      <c r="P198" s="491"/>
      <c r="Q198" s="491"/>
      <c r="R198" s="491"/>
      <c r="S198" s="492"/>
      <c r="T198" s="469"/>
    </row>
    <row r="199" spans="2:20" ht="15" customHeight="1" x14ac:dyDescent="0.2">
      <c r="B199" s="441"/>
      <c r="C199" s="441"/>
      <c r="D199" s="441"/>
      <c r="E199" s="441"/>
      <c r="F199" s="441"/>
      <c r="G199" s="441"/>
      <c r="H199" s="441"/>
      <c r="I199" s="441"/>
      <c r="J199" s="441"/>
      <c r="K199" s="441"/>
      <c r="L199" s="441"/>
      <c r="M199" s="441"/>
      <c r="N199" s="441"/>
      <c r="O199" s="441"/>
      <c r="P199" s="64"/>
      <c r="Q199" s="64"/>
      <c r="R199" s="64"/>
      <c r="S199" s="64"/>
    </row>
    <row r="200" spans="2:20" ht="15.75" x14ac:dyDescent="0.25">
      <c r="B200" s="460" t="s">
        <v>467</v>
      </c>
      <c r="C200" s="84"/>
      <c r="D200" s="84"/>
      <c r="E200" s="84"/>
      <c r="F200" s="84"/>
      <c r="G200" s="84"/>
      <c r="H200" s="84"/>
      <c r="I200" s="84"/>
      <c r="J200" s="84"/>
      <c r="K200" s="84"/>
      <c r="L200" s="84"/>
      <c r="M200" s="84"/>
      <c r="N200" s="84"/>
      <c r="O200" s="84"/>
      <c r="P200" s="81"/>
      <c r="Q200" s="81"/>
      <c r="R200" s="81"/>
      <c r="S200" s="82"/>
    </row>
    <row r="201" spans="2:20" ht="123" customHeight="1" x14ac:dyDescent="0.2">
      <c r="B201" s="499" t="s">
        <v>497</v>
      </c>
      <c r="C201" s="500"/>
      <c r="D201" s="500"/>
      <c r="E201" s="500"/>
      <c r="F201" s="500"/>
      <c r="G201" s="500"/>
      <c r="H201" s="500"/>
      <c r="I201" s="500"/>
      <c r="J201" s="500"/>
      <c r="K201" s="500"/>
      <c r="L201" s="500"/>
      <c r="M201" s="500"/>
      <c r="N201" s="500"/>
      <c r="O201" s="500"/>
      <c r="P201" s="500"/>
      <c r="Q201" s="500"/>
      <c r="R201" s="500"/>
      <c r="S201" s="501"/>
      <c r="T201" s="469"/>
    </row>
    <row r="202" spans="2:20" ht="16.5" customHeight="1" x14ac:dyDescent="0.2">
      <c r="B202" s="443"/>
      <c r="C202" s="443"/>
      <c r="D202" s="443"/>
      <c r="E202" s="443"/>
      <c r="F202" s="443"/>
      <c r="G202" s="443"/>
      <c r="H202" s="443"/>
      <c r="I202" s="443"/>
      <c r="J202" s="443"/>
      <c r="K202" s="443"/>
      <c r="L202" s="443"/>
      <c r="M202" s="443"/>
      <c r="N202" s="443"/>
      <c r="O202" s="443"/>
      <c r="P202" s="443"/>
      <c r="Q202" s="443"/>
      <c r="R202" s="443"/>
      <c r="S202" s="443"/>
    </row>
    <row r="203" spans="2:20" ht="15" x14ac:dyDescent="0.2">
      <c r="B203" s="441"/>
      <c r="C203" s="441"/>
      <c r="D203" s="441"/>
      <c r="E203" s="441"/>
      <c r="F203" s="441"/>
      <c r="G203" s="441"/>
      <c r="H203" s="441"/>
      <c r="I203" s="441"/>
      <c r="J203" s="441"/>
      <c r="K203" s="441"/>
      <c r="L203" s="441"/>
      <c r="M203" s="441"/>
      <c r="N203" s="441"/>
      <c r="O203" s="441"/>
      <c r="P203" s="64"/>
      <c r="Q203" s="64"/>
      <c r="R203" s="64"/>
      <c r="S203" s="64"/>
    </row>
    <row r="204" spans="2:20" ht="15.75" x14ac:dyDescent="0.25">
      <c r="B204" s="72" t="s">
        <v>410</v>
      </c>
      <c r="C204" s="441"/>
      <c r="D204" s="441"/>
      <c r="E204" s="441"/>
      <c r="F204" s="441"/>
      <c r="G204" s="441"/>
      <c r="H204" s="441"/>
      <c r="I204" s="441"/>
      <c r="J204" s="441"/>
      <c r="K204" s="441"/>
      <c r="L204" s="441"/>
      <c r="M204" s="441"/>
      <c r="N204" s="441"/>
      <c r="O204" s="441"/>
      <c r="P204" s="64"/>
      <c r="Q204" s="64"/>
      <c r="R204" s="64"/>
      <c r="S204" s="64"/>
    </row>
    <row r="205" spans="2:20" ht="15.75" x14ac:dyDescent="0.25">
      <c r="B205" s="72"/>
      <c r="C205" s="441"/>
      <c r="D205" s="441"/>
      <c r="E205" s="441"/>
      <c r="F205" s="441"/>
      <c r="G205" s="441"/>
      <c r="H205" s="441"/>
      <c r="I205" s="441"/>
      <c r="J205" s="441"/>
      <c r="K205" s="441"/>
      <c r="L205" s="441"/>
      <c r="M205" s="441"/>
      <c r="N205" s="441"/>
      <c r="O205" s="441"/>
      <c r="P205" s="64"/>
      <c r="Q205" s="64"/>
      <c r="R205" s="64"/>
      <c r="S205" s="64"/>
    </row>
    <row r="206" spans="2:20" ht="18.75" customHeight="1" x14ac:dyDescent="0.2">
      <c r="B206" s="526" t="s">
        <v>498</v>
      </c>
      <c r="C206" s="527"/>
      <c r="D206" s="527"/>
      <c r="E206" s="527"/>
      <c r="F206" s="527"/>
      <c r="G206" s="527"/>
      <c r="H206" s="527"/>
      <c r="I206" s="527"/>
      <c r="J206" s="527"/>
      <c r="K206" s="527"/>
      <c r="L206" s="527"/>
      <c r="M206" s="527"/>
      <c r="N206" s="527"/>
      <c r="O206" s="527"/>
      <c r="P206" s="527"/>
      <c r="Q206" s="527"/>
      <c r="R206" s="527"/>
      <c r="S206" s="528"/>
    </row>
    <row r="207" spans="2:20" ht="13.5" customHeight="1" x14ac:dyDescent="0.2">
      <c r="B207" s="456"/>
      <c r="C207" s="456"/>
      <c r="D207" s="456"/>
      <c r="E207" s="456"/>
      <c r="F207" s="456"/>
      <c r="G207" s="456"/>
      <c r="H207" s="456"/>
      <c r="I207" s="456"/>
      <c r="J207" s="456"/>
      <c r="K207" s="456"/>
      <c r="L207" s="456"/>
      <c r="M207" s="456"/>
      <c r="N207" s="456"/>
      <c r="O207" s="456"/>
      <c r="P207" s="456"/>
      <c r="Q207" s="456"/>
      <c r="R207" s="456"/>
      <c r="S207" s="456"/>
    </row>
    <row r="208" spans="2:20" ht="15.75" customHeight="1" x14ac:dyDescent="0.25">
      <c r="B208" s="72" t="s">
        <v>384</v>
      </c>
      <c r="C208" s="441"/>
      <c r="D208" s="441"/>
      <c r="E208" s="441"/>
      <c r="F208" s="441"/>
      <c r="G208" s="441"/>
      <c r="H208" s="441"/>
      <c r="I208" s="441"/>
      <c r="J208" s="441"/>
      <c r="K208" s="441"/>
      <c r="L208" s="441"/>
      <c r="M208" s="441"/>
      <c r="N208" s="441"/>
      <c r="O208" s="441"/>
      <c r="P208" s="64"/>
      <c r="Q208" s="64"/>
      <c r="R208" s="64"/>
      <c r="S208" s="64"/>
    </row>
    <row r="209" spans="2:20" ht="15.75" x14ac:dyDescent="0.25">
      <c r="B209" s="460" t="s">
        <v>468</v>
      </c>
      <c r="C209" s="84"/>
      <c r="D209" s="84"/>
      <c r="E209" s="84"/>
      <c r="F209" s="84"/>
      <c r="G209" s="84"/>
      <c r="H209" s="84"/>
      <c r="I209" s="84"/>
      <c r="J209" s="84"/>
      <c r="K209" s="84"/>
      <c r="L209" s="84"/>
      <c r="M209" s="84"/>
      <c r="N209" s="84"/>
      <c r="O209" s="84"/>
      <c r="P209" s="81"/>
      <c r="Q209" s="81"/>
      <c r="R209" s="81"/>
      <c r="S209" s="82"/>
    </row>
    <row r="210" spans="2:20" ht="215.1" customHeight="1" x14ac:dyDescent="0.2">
      <c r="B210" s="490" t="s">
        <v>515</v>
      </c>
      <c r="C210" s="491"/>
      <c r="D210" s="491"/>
      <c r="E210" s="491"/>
      <c r="F210" s="491"/>
      <c r="G210" s="491"/>
      <c r="H210" s="491"/>
      <c r="I210" s="491"/>
      <c r="J210" s="491"/>
      <c r="K210" s="491"/>
      <c r="L210" s="491"/>
      <c r="M210" s="491"/>
      <c r="N210" s="491"/>
      <c r="O210" s="491"/>
      <c r="P210" s="491"/>
      <c r="Q210" s="491"/>
      <c r="R210" s="491"/>
      <c r="S210" s="492"/>
      <c r="T210" s="469"/>
    </row>
    <row r="211" spans="2:20" ht="18.75" customHeight="1" x14ac:dyDescent="0.2">
      <c r="B211" s="442"/>
      <c r="C211" s="442"/>
      <c r="D211" s="442"/>
      <c r="E211" s="442"/>
      <c r="F211" s="442"/>
      <c r="G211" s="442"/>
      <c r="H211" s="442"/>
      <c r="I211" s="442"/>
      <c r="J211" s="442"/>
      <c r="K211" s="442"/>
      <c r="L211" s="442"/>
      <c r="M211" s="442"/>
      <c r="N211" s="442"/>
      <c r="O211" s="442"/>
      <c r="P211" s="442"/>
      <c r="Q211" s="442"/>
      <c r="R211" s="442"/>
      <c r="S211" s="442"/>
    </row>
    <row r="212" spans="2:20" ht="15" customHeight="1" x14ac:dyDescent="0.25">
      <c r="B212" s="72" t="s">
        <v>411</v>
      </c>
      <c r="C212" s="441"/>
      <c r="D212" s="441"/>
      <c r="E212" s="441"/>
      <c r="F212" s="441"/>
      <c r="G212" s="441"/>
      <c r="H212" s="441"/>
      <c r="I212" s="441"/>
      <c r="J212" s="441"/>
      <c r="K212" s="441"/>
      <c r="L212" s="441"/>
      <c r="M212" s="441"/>
      <c r="N212" s="441"/>
      <c r="O212" s="441"/>
      <c r="P212" s="64"/>
      <c r="Q212" s="64"/>
      <c r="R212" s="64"/>
      <c r="S212" s="64"/>
    </row>
    <row r="213" spans="2:20" ht="15.75" x14ac:dyDescent="0.25">
      <c r="B213" s="493" t="s">
        <v>470</v>
      </c>
      <c r="C213" s="494"/>
      <c r="D213" s="494"/>
      <c r="E213" s="494"/>
      <c r="F213" s="494"/>
      <c r="G213" s="494"/>
      <c r="H213" s="494"/>
      <c r="I213" s="494"/>
      <c r="J213" s="494"/>
      <c r="K213" s="494"/>
      <c r="L213" s="494"/>
      <c r="M213" s="494"/>
      <c r="N213" s="494"/>
      <c r="O213" s="494"/>
      <c r="P213" s="494"/>
      <c r="Q213" s="494"/>
      <c r="R213" s="494"/>
      <c r="S213" s="495"/>
    </row>
    <row r="214" spans="2:20" ht="126" customHeight="1" x14ac:dyDescent="0.2">
      <c r="B214" s="525" t="s">
        <v>516</v>
      </c>
      <c r="C214" s="525"/>
      <c r="D214" s="525"/>
      <c r="E214" s="525"/>
      <c r="F214" s="525"/>
      <c r="G214" s="525"/>
      <c r="H214" s="525"/>
      <c r="I214" s="525"/>
      <c r="J214" s="525"/>
      <c r="K214" s="525"/>
      <c r="L214" s="525"/>
      <c r="M214" s="525"/>
      <c r="N214" s="525"/>
      <c r="O214" s="525"/>
      <c r="P214" s="525"/>
      <c r="Q214" s="525"/>
      <c r="R214" s="525"/>
      <c r="S214" s="525"/>
      <c r="T214" s="469"/>
    </row>
    <row r="215" spans="2:20" ht="15" x14ac:dyDescent="0.2">
      <c r="B215" s="441"/>
      <c r="C215" s="441"/>
      <c r="D215" s="441"/>
      <c r="E215" s="441"/>
      <c r="F215" s="441"/>
      <c r="G215" s="441"/>
      <c r="H215" s="441"/>
      <c r="I215" s="441"/>
      <c r="J215" s="441"/>
      <c r="K215" s="441"/>
      <c r="L215" s="441"/>
      <c r="M215" s="441"/>
      <c r="N215" s="441"/>
      <c r="O215" s="441"/>
      <c r="P215" s="64"/>
      <c r="Q215" s="64"/>
      <c r="R215" s="64"/>
      <c r="S215" s="64"/>
    </row>
    <row r="216" spans="2:20" ht="15" x14ac:dyDescent="0.2">
      <c r="B216" s="441"/>
      <c r="C216" s="441"/>
      <c r="D216" s="441"/>
      <c r="E216" s="441"/>
      <c r="F216" s="441"/>
      <c r="G216" s="441"/>
      <c r="H216" s="441"/>
      <c r="I216" s="441"/>
      <c r="J216" s="441"/>
      <c r="K216" s="441"/>
      <c r="L216" s="441"/>
      <c r="M216" s="441"/>
      <c r="N216" s="441"/>
      <c r="O216" s="441"/>
      <c r="P216" s="64"/>
      <c r="Q216" s="64"/>
      <c r="R216" s="64"/>
      <c r="S216" s="64"/>
    </row>
    <row r="217" spans="2:20" ht="15.75" x14ac:dyDescent="0.25">
      <c r="B217" s="72" t="s">
        <v>151</v>
      </c>
      <c r="C217" s="441"/>
      <c r="D217" s="441"/>
      <c r="E217" s="441"/>
      <c r="F217" s="441"/>
      <c r="G217" s="441"/>
      <c r="H217" s="441"/>
      <c r="I217" s="441"/>
      <c r="J217" s="441"/>
      <c r="K217" s="441"/>
      <c r="L217" s="441"/>
      <c r="M217" s="441"/>
      <c r="N217" s="441"/>
      <c r="O217" s="441"/>
      <c r="P217" s="64"/>
      <c r="Q217" s="64"/>
      <c r="R217" s="64"/>
      <c r="S217" s="64"/>
    </row>
    <row r="218" spans="2:20" ht="15" x14ac:dyDescent="0.2">
      <c r="B218" s="441"/>
      <c r="C218" s="441"/>
      <c r="D218" s="441"/>
      <c r="E218" s="441"/>
      <c r="F218" s="441"/>
      <c r="G218" s="441"/>
      <c r="H218" s="441"/>
      <c r="I218" s="441"/>
      <c r="J218" s="441"/>
      <c r="K218" s="441"/>
      <c r="L218" s="441"/>
      <c r="M218" s="441"/>
      <c r="N218" s="441"/>
      <c r="O218" s="441"/>
      <c r="P218" s="64"/>
      <c r="Q218" s="64"/>
      <c r="R218" s="64"/>
      <c r="S218" s="64"/>
    </row>
    <row r="219" spans="2:20" ht="15.75" x14ac:dyDescent="0.25">
      <c r="B219" s="493" t="s">
        <v>471</v>
      </c>
      <c r="C219" s="494"/>
      <c r="D219" s="494"/>
      <c r="E219" s="494"/>
      <c r="F219" s="494"/>
      <c r="G219" s="494"/>
      <c r="H219" s="494"/>
      <c r="I219" s="494"/>
      <c r="J219" s="494"/>
      <c r="K219" s="494"/>
      <c r="L219" s="494"/>
      <c r="M219" s="494"/>
      <c r="N219" s="494"/>
      <c r="O219" s="494"/>
      <c r="P219" s="494"/>
      <c r="Q219" s="494"/>
      <c r="R219" s="494"/>
      <c r="S219" s="495"/>
    </row>
    <row r="220" spans="2:20" ht="39.950000000000003" customHeight="1" x14ac:dyDescent="0.2">
      <c r="B220" s="490" t="s">
        <v>478</v>
      </c>
      <c r="C220" s="491"/>
      <c r="D220" s="491"/>
      <c r="E220" s="491"/>
      <c r="F220" s="491"/>
      <c r="G220" s="491"/>
      <c r="H220" s="491"/>
      <c r="I220" s="491"/>
      <c r="J220" s="491"/>
      <c r="K220" s="491"/>
      <c r="L220" s="491"/>
      <c r="M220" s="491"/>
      <c r="N220" s="491"/>
      <c r="O220" s="491"/>
      <c r="P220" s="491"/>
      <c r="Q220" s="491"/>
      <c r="R220" s="491"/>
      <c r="S220" s="492"/>
      <c r="T220" s="470"/>
    </row>
    <row r="221" spans="2:20" ht="15" customHeight="1" x14ac:dyDescent="0.2">
      <c r="B221" s="441"/>
      <c r="C221" s="441"/>
      <c r="D221" s="441"/>
      <c r="E221" s="441"/>
      <c r="F221" s="441"/>
      <c r="G221" s="441"/>
      <c r="H221" s="441"/>
      <c r="I221" s="441"/>
      <c r="J221" s="441"/>
      <c r="K221" s="441"/>
      <c r="L221" s="441"/>
      <c r="M221" s="441"/>
      <c r="N221" s="441"/>
      <c r="O221" s="441"/>
      <c r="P221" s="64"/>
      <c r="Q221" s="64"/>
      <c r="R221" s="64"/>
      <c r="S221" s="64"/>
    </row>
    <row r="222" spans="2:20" ht="15.75" x14ac:dyDescent="0.25">
      <c r="B222" s="493" t="s">
        <v>474</v>
      </c>
      <c r="C222" s="494"/>
      <c r="D222" s="494"/>
      <c r="E222" s="494"/>
      <c r="F222" s="494"/>
      <c r="G222" s="494"/>
      <c r="H222" s="494"/>
      <c r="I222" s="494"/>
      <c r="J222" s="494"/>
      <c r="K222" s="494"/>
      <c r="L222" s="494"/>
      <c r="M222" s="494"/>
      <c r="N222" s="494"/>
      <c r="O222" s="494"/>
      <c r="P222" s="494"/>
      <c r="Q222" s="494"/>
      <c r="R222" s="494"/>
      <c r="S222" s="495"/>
    </row>
    <row r="223" spans="2:20" ht="48.75" customHeight="1" x14ac:dyDescent="0.2">
      <c r="B223" s="490" t="s">
        <v>500</v>
      </c>
      <c r="C223" s="491"/>
      <c r="D223" s="491"/>
      <c r="E223" s="491"/>
      <c r="F223" s="491"/>
      <c r="G223" s="491"/>
      <c r="H223" s="491"/>
      <c r="I223" s="491"/>
      <c r="J223" s="491"/>
      <c r="K223" s="491"/>
      <c r="L223" s="491"/>
      <c r="M223" s="491"/>
      <c r="N223" s="491"/>
      <c r="O223" s="491"/>
      <c r="P223" s="491"/>
      <c r="Q223" s="491"/>
      <c r="R223" s="491"/>
      <c r="S223" s="492"/>
      <c r="T223" s="469"/>
    </row>
    <row r="224" spans="2:20" ht="15" customHeight="1" x14ac:dyDescent="0.2">
      <c r="B224" s="441"/>
      <c r="C224" s="441"/>
      <c r="D224" s="441"/>
      <c r="E224" s="441"/>
      <c r="F224" s="441"/>
      <c r="G224" s="441"/>
      <c r="H224" s="441"/>
      <c r="I224" s="441"/>
      <c r="J224" s="441"/>
      <c r="K224" s="441"/>
      <c r="L224" s="441"/>
      <c r="M224" s="441"/>
      <c r="N224" s="441"/>
      <c r="O224" s="441"/>
      <c r="P224" s="64"/>
      <c r="Q224" s="64"/>
      <c r="R224" s="64"/>
      <c r="S224" s="64"/>
    </row>
    <row r="225" spans="2:20" ht="15.75" x14ac:dyDescent="0.25">
      <c r="B225" s="493" t="s">
        <v>472</v>
      </c>
      <c r="C225" s="494"/>
      <c r="D225" s="494"/>
      <c r="E225" s="494"/>
      <c r="F225" s="494"/>
      <c r="G225" s="494"/>
      <c r="H225" s="494"/>
      <c r="I225" s="494"/>
      <c r="J225" s="494"/>
      <c r="K225" s="494"/>
      <c r="L225" s="494"/>
      <c r="M225" s="494"/>
      <c r="N225" s="494"/>
      <c r="O225" s="494"/>
      <c r="P225" s="494"/>
      <c r="Q225" s="494"/>
      <c r="R225" s="494"/>
      <c r="S225" s="495"/>
    </row>
    <row r="226" spans="2:20" ht="42" customHeight="1" x14ac:dyDescent="0.2">
      <c r="B226" s="490" t="s">
        <v>473</v>
      </c>
      <c r="C226" s="491"/>
      <c r="D226" s="491"/>
      <c r="E226" s="491"/>
      <c r="F226" s="491"/>
      <c r="G226" s="491"/>
      <c r="H226" s="491"/>
      <c r="I226" s="491"/>
      <c r="J226" s="491"/>
      <c r="K226" s="491"/>
      <c r="L226" s="491"/>
      <c r="M226" s="491"/>
      <c r="N226" s="491"/>
      <c r="O226" s="491"/>
      <c r="P226" s="491"/>
      <c r="Q226" s="491"/>
      <c r="R226" s="491"/>
      <c r="S226" s="492"/>
      <c r="T226" s="469"/>
    </row>
    <row r="227" spans="2:20" ht="15" customHeight="1" x14ac:dyDescent="0.2">
      <c r="B227" s="64"/>
      <c r="C227" s="441"/>
      <c r="D227" s="441"/>
      <c r="E227" s="441"/>
      <c r="F227" s="441"/>
      <c r="G227" s="441"/>
      <c r="H227" s="441"/>
      <c r="I227" s="441"/>
      <c r="J227" s="441"/>
      <c r="K227" s="441"/>
      <c r="L227" s="441"/>
      <c r="M227" s="441"/>
      <c r="N227" s="441"/>
      <c r="O227" s="441"/>
      <c r="P227" s="64"/>
      <c r="Q227" s="64"/>
      <c r="R227" s="64"/>
      <c r="S227" s="64"/>
    </row>
    <row r="228" spans="2:20" ht="15.75" x14ac:dyDescent="0.25">
      <c r="B228" s="69" t="s">
        <v>129</v>
      </c>
      <c r="C228" s="441"/>
      <c r="D228" s="441"/>
      <c r="E228" s="441"/>
      <c r="F228" s="441"/>
      <c r="G228" s="441"/>
      <c r="H228" s="441"/>
      <c r="I228" s="441"/>
      <c r="J228" s="441"/>
      <c r="K228" s="441"/>
      <c r="L228" s="441"/>
      <c r="M228" s="441"/>
      <c r="N228" s="441"/>
      <c r="O228" s="441"/>
      <c r="P228" s="64"/>
      <c r="Q228" s="64"/>
      <c r="R228" s="64"/>
      <c r="S228" s="64"/>
    </row>
    <row r="229" spans="2:20" ht="15" x14ac:dyDescent="0.2">
      <c r="B229" s="64"/>
      <c r="C229" s="441"/>
      <c r="D229" s="441"/>
      <c r="E229" s="441"/>
      <c r="F229" s="441"/>
      <c r="G229" s="441"/>
      <c r="H229" s="441"/>
      <c r="I229" s="441"/>
      <c r="J229" s="441"/>
      <c r="K229" s="441"/>
      <c r="L229" s="441"/>
      <c r="M229" s="441"/>
      <c r="N229" s="441"/>
      <c r="O229" s="441"/>
      <c r="P229" s="64"/>
      <c r="Q229" s="64"/>
      <c r="R229" s="64"/>
      <c r="S229" s="64"/>
    </row>
    <row r="230" spans="2:20" ht="15" x14ac:dyDescent="0.2">
      <c r="B230" s="64" t="s">
        <v>245</v>
      </c>
      <c r="C230" s="441"/>
      <c r="D230" s="441"/>
      <c r="E230" s="441"/>
      <c r="F230" s="441"/>
      <c r="G230" s="441"/>
      <c r="H230" s="441"/>
      <c r="I230" s="441"/>
      <c r="J230" s="441"/>
      <c r="K230" s="441"/>
      <c r="L230" s="441"/>
      <c r="M230" s="441"/>
      <c r="N230" s="441"/>
      <c r="O230" s="441"/>
      <c r="P230" s="64"/>
      <c r="Q230" s="64"/>
      <c r="R230" s="64"/>
      <c r="S230" s="64"/>
    </row>
    <row r="231" spans="2:20" ht="15" x14ac:dyDescent="0.2">
      <c r="B231" s="64" t="s">
        <v>131</v>
      </c>
      <c r="C231" s="441"/>
      <c r="D231" s="441"/>
      <c r="E231" s="441"/>
      <c r="F231" s="441"/>
      <c r="G231" s="441"/>
      <c r="H231" s="441"/>
      <c r="I231" s="441"/>
      <c r="J231" s="441"/>
      <c r="K231" s="441"/>
      <c r="L231" s="441"/>
      <c r="M231" s="441"/>
      <c r="N231" s="441"/>
      <c r="O231" s="441"/>
      <c r="P231" s="64"/>
      <c r="Q231" s="64"/>
      <c r="R231" s="64"/>
      <c r="S231" s="64"/>
    </row>
    <row r="232" spans="2:20" ht="15" x14ac:dyDescent="0.2">
      <c r="B232" s="64" t="s">
        <v>155</v>
      </c>
      <c r="C232" s="441"/>
      <c r="D232" s="441"/>
      <c r="E232" s="441"/>
      <c r="F232" s="441"/>
      <c r="G232" s="441"/>
      <c r="H232" s="441"/>
      <c r="I232" s="441"/>
      <c r="J232" s="441"/>
      <c r="K232" s="441"/>
      <c r="L232" s="441"/>
      <c r="M232" s="441"/>
      <c r="N232" s="441"/>
      <c r="O232" s="441"/>
      <c r="P232" s="64"/>
      <c r="Q232" s="64"/>
      <c r="R232" s="64"/>
      <c r="S232" s="64"/>
    </row>
    <row r="233" spans="2:20" ht="15" x14ac:dyDescent="0.2">
      <c r="B233" s="64" t="s">
        <v>130</v>
      </c>
      <c r="C233" s="441"/>
      <c r="D233" s="441"/>
      <c r="E233" s="441"/>
      <c r="F233" s="441"/>
      <c r="G233" s="441"/>
      <c r="H233" s="441"/>
      <c r="I233" s="441"/>
      <c r="J233" s="441"/>
      <c r="K233" s="441"/>
      <c r="L233" s="441"/>
      <c r="M233" s="441"/>
      <c r="N233" s="441"/>
      <c r="O233" s="441"/>
      <c r="P233" s="64"/>
      <c r="Q233" s="64"/>
      <c r="R233" s="64"/>
      <c r="S233" s="64"/>
    </row>
    <row r="234" spans="2:20" ht="15" x14ac:dyDescent="0.2">
      <c r="B234" s="64" t="s">
        <v>494</v>
      </c>
      <c r="C234" s="441"/>
      <c r="D234" s="441"/>
      <c r="E234" s="441"/>
      <c r="F234" s="441"/>
      <c r="G234" s="441"/>
      <c r="H234" s="441"/>
      <c r="I234" s="441"/>
      <c r="J234" s="441"/>
      <c r="K234" s="441"/>
      <c r="L234" s="441"/>
      <c r="M234" s="441"/>
      <c r="N234" s="441"/>
      <c r="O234" s="441"/>
      <c r="P234" s="64"/>
      <c r="Q234" s="64"/>
      <c r="R234" s="64"/>
      <c r="S234" s="64"/>
    </row>
    <row r="235" spans="2:20" ht="15" x14ac:dyDescent="0.2">
      <c r="B235" s="64" t="s">
        <v>160</v>
      </c>
      <c r="C235" s="441"/>
      <c r="D235" s="441"/>
      <c r="E235" s="441"/>
      <c r="F235" s="441"/>
      <c r="G235" s="441"/>
      <c r="H235" s="441"/>
      <c r="I235" s="441"/>
      <c r="J235" s="441"/>
      <c r="K235" s="441"/>
      <c r="L235" s="441"/>
      <c r="M235" s="441"/>
      <c r="N235" s="441"/>
      <c r="O235" s="441"/>
      <c r="P235" s="64"/>
      <c r="Q235" s="64"/>
      <c r="R235" s="64"/>
      <c r="S235" s="64"/>
    </row>
    <row r="236" spans="2:20" ht="15" x14ac:dyDescent="0.2">
      <c r="B236" s="64" t="s">
        <v>154</v>
      </c>
      <c r="C236" s="441"/>
      <c r="D236" s="441"/>
      <c r="E236" s="441"/>
      <c r="F236" s="441"/>
      <c r="G236" s="441"/>
      <c r="H236" s="441"/>
      <c r="I236" s="441"/>
      <c r="J236" s="441"/>
      <c r="K236" s="441"/>
      <c r="L236" s="441"/>
      <c r="M236" s="441"/>
      <c r="N236" s="441"/>
      <c r="O236" s="441"/>
      <c r="P236" s="64"/>
      <c r="Q236" s="64"/>
      <c r="R236" s="64"/>
      <c r="S236" s="64"/>
    </row>
    <row r="237" spans="2:20" ht="15" x14ac:dyDescent="0.2">
      <c r="B237" s="64" t="s">
        <v>161</v>
      </c>
      <c r="C237" s="441"/>
      <c r="D237" s="441"/>
      <c r="E237" s="441"/>
      <c r="F237" s="441"/>
      <c r="G237" s="441"/>
      <c r="H237" s="441"/>
      <c r="I237" s="441"/>
      <c r="J237" s="441"/>
      <c r="K237" s="441"/>
      <c r="L237" s="441"/>
      <c r="M237" s="441"/>
      <c r="N237" s="441"/>
      <c r="O237" s="441"/>
      <c r="P237" s="64"/>
      <c r="Q237" s="64"/>
      <c r="R237" s="64"/>
      <c r="S237" s="64"/>
    </row>
    <row r="238" spans="2:20" ht="15" x14ac:dyDescent="0.2">
      <c r="B238" s="70" t="s">
        <v>257</v>
      </c>
      <c r="C238" s="441"/>
      <c r="D238" s="441"/>
      <c r="E238" s="441"/>
      <c r="F238" s="441"/>
      <c r="G238" s="441"/>
      <c r="H238" s="441"/>
      <c r="I238" s="441"/>
      <c r="J238" s="441"/>
      <c r="K238" s="441"/>
      <c r="L238" s="441"/>
      <c r="M238" s="441"/>
      <c r="N238" s="441"/>
      <c r="O238" s="441"/>
      <c r="P238" s="64"/>
      <c r="Q238" s="64"/>
      <c r="R238" s="64"/>
      <c r="S238" s="64"/>
    </row>
    <row r="239" spans="2:20" ht="15" x14ac:dyDescent="0.2">
      <c r="B239" s="70" t="s">
        <v>141</v>
      </c>
      <c r="C239" s="441"/>
      <c r="D239" s="441"/>
      <c r="E239" s="441"/>
      <c r="F239" s="441"/>
      <c r="G239" s="441"/>
      <c r="H239" s="441"/>
      <c r="I239" s="441"/>
      <c r="J239" s="441"/>
      <c r="K239" s="441"/>
      <c r="L239" s="441"/>
      <c r="M239" s="441"/>
      <c r="N239" s="441"/>
      <c r="O239" s="441"/>
      <c r="P239" s="64"/>
      <c r="Q239" s="64"/>
      <c r="R239" s="64"/>
      <c r="S239" s="64"/>
    </row>
    <row r="240" spans="2:20" ht="15" x14ac:dyDescent="0.2">
      <c r="B240" s="441" t="s">
        <v>244</v>
      </c>
      <c r="C240" s="441"/>
      <c r="D240" s="441"/>
      <c r="E240" s="441"/>
      <c r="F240" s="441"/>
      <c r="G240" s="441"/>
      <c r="H240" s="441"/>
      <c r="I240" s="441"/>
      <c r="J240" s="441"/>
      <c r="K240" s="441"/>
      <c r="L240" s="441"/>
      <c r="M240" s="441"/>
      <c r="N240" s="441"/>
      <c r="O240" s="441"/>
      <c r="P240" s="64"/>
      <c r="Q240" s="64"/>
      <c r="R240" s="64"/>
      <c r="S240" s="64"/>
    </row>
    <row r="241" spans="2:19" ht="15" x14ac:dyDescent="0.2">
      <c r="B241" s="441" t="s">
        <v>246</v>
      </c>
      <c r="C241" s="441"/>
      <c r="D241" s="441"/>
      <c r="E241" s="441"/>
      <c r="F241" s="441"/>
      <c r="G241" s="441"/>
      <c r="H241" s="441"/>
      <c r="I241" s="441"/>
      <c r="J241" s="441"/>
      <c r="K241" s="441"/>
      <c r="L241" s="441"/>
      <c r="M241" s="441"/>
      <c r="N241" s="441"/>
      <c r="O241" s="441"/>
      <c r="P241" s="64"/>
      <c r="Q241" s="64"/>
      <c r="R241" s="64"/>
      <c r="S241" s="64"/>
    </row>
    <row r="242" spans="2:19" ht="15" x14ac:dyDescent="0.2">
      <c r="B242" s="441" t="s">
        <v>247</v>
      </c>
      <c r="C242" s="441"/>
      <c r="D242" s="441"/>
      <c r="E242" s="441"/>
      <c r="F242" s="441"/>
      <c r="G242" s="441"/>
      <c r="H242" s="441"/>
      <c r="I242" s="441"/>
      <c r="J242" s="441"/>
      <c r="K242" s="441"/>
      <c r="L242" s="441"/>
      <c r="M242" s="441"/>
      <c r="N242" s="441"/>
      <c r="O242" s="441"/>
      <c r="P242" s="64"/>
      <c r="Q242" s="64"/>
      <c r="R242" s="64"/>
      <c r="S242" s="64"/>
    </row>
    <row r="243" spans="2:19" ht="15" x14ac:dyDescent="0.2">
      <c r="B243" s="441" t="s">
        <v>260</v>
      </c>
      <c r="C243" s="441"/>
      <c r="D243" s="441"/>
      <c r="E243" s="441"/>
      <c r="F243" s="441"/>
      <c r="G243" s="441"/>
      <c r="H243" s="441"/>
      <c r="I243" s="441"/>
      <c r="J243" s="441"/>
      <c r="K243" s="441"/>
      <c r="L243" s="441"/>
      <c r="M243" s="441"/>
      <c r="N243" s="441"/>
      <c r="O243" s="441"/>
      <c r="P243" s="64"/>
      <c r="Q243" s="64"/>
      <c r="R243" s="64"/>
      <c r="S243" s="64"/>
    </row>
    <row r="244" spans="2:19" ht="15" x14ac:dyDescent="0.2">
      <c r="B244" s="441"/>
      <c r="C244" s="441"/>
      <c r="D244" s="441"/>
      <c r="E244" s="441"/>
      <c r="F244" s="441"/>
      <c r="G244" s="441"/>
      <c r="H244" s="441"/>
      <c r="I244" s="441"/>
      <c r="J244" s="441"/>
      <c r="K244" s="441"/>
      <c r="L244" s="441"/>
      <c r="M244" s="441"/>
      <c r="N244" s="441"/>
      <c r="O244" s="441"/>
      <c r="P244" s="64"/>
      <c r="Q244" s="64"/>
      <c r="R244" s="64"/>
      <c r="S244" s="64"/>
    </row>
    <row r="245" spans="2:19" ht="15" x14ac:dyDescent="0.2">
      <c r="B245" s="441"/>
      <c r="C245" s="441"/>
      <c r="D245" s="441"/>
      <c r="E245" s="441"/>
      <c r="F245" s="441"/>
      <c r="G245" s="441"/>
      <c r="H245" s="441"/>
      <c r="I245" s="441"/>
      <c r="J245" s="441"/>
      <c r="K245" s="441"/>
      <c r="L245" s="441"/>
      <c r="M245" s="441"/>
      <c r="N245" s="441"/>
      <c r="O245" s="441"/>
      <c r="P245" s="64"/>
      <c r="Q245" s="64"/>
      <c r="R245" s="64"/>
      <c r="S245" s="64"/>
    </row>
    <row r="353" spans="2:19" ht="15" x14ac:dyDescent="0.2">
      <c r="B353" s="74"/>
      <c r="C353" s="74"/>
      <c r="D353" s="74"/>
      <c r="E353" s="74"/>
      <c r="F353" s="74"/>
      <c r="G353" s="74"/>
      <c r="H353" s="74"/>
      <c r="I353" s="74"/>
      <c r="J353" s="74"/>
      <c r="K353" s="74"/>
      <c r="L353" s="74"/>
      <c r="M353" s="74"/>
      <c r="N353" s="74"/>
      <c r="O353" s="74"/>
      <c r="P353" s="64"/>
      <c r="Q353" s="64"/>
      <c r="R353" s="64"/>
      <c r="S353" s="64"/>
    </row>
    <row r="354" spans="2:19" ht="15" x14ac:dyDescent="0.2">
      <c r="B354" s="74"/>
      <c r="C354" s="74"/>
      <c r="D354" s="74"/>
      <c r="E354" s="74"/>
      <c r="F354" s="74"/>
      <c r="G354" s="74"/>
      <c r="H354" s="74"/>
      <c r="I354" s="74"/>
      <c r="J354" s="74"/>
      <c r="K354" s="74"/>
      <c r="L354" s="74"/>
      <c r="M354" s="74"/>
      <c r="N354" s="74"/>
      <c r="O354" s="74"/>
      <c r="P354" s="64"/>
      <c r="Q354" s="64"/>
      <c r="R354" s="64"/>
      <c r="S354" s="64"/>
    </row>
    <row r="355" spans="2:19" ht="15" x14ac:dyDescent="0.2">
      <c r="B355" s="74"/>
      <c r="C355" s="74"/>
      <c r="D355" s="74"/>
      <c r="E355" s="74"/>
      <c r="F355" s="74"/>
      <c r="G355" s="74"/>
      <c r="H355" s="74"/>
      <c r="I355" s="74"/>
      <c r="J355" s="74"/>
      <c r="K355" s="74"/>
      <c r="L355" s="74"/>
      <c r="M355" s="74"/>
      <c r="N355" s="74"/>
      <c r="O355" s="74"/>
      <c r="P355" s="64"/>
      <c r="Q355" s="64"/>
      <c r="R355" s="64"/>
      <c r="S355" s="64"/>
    </row>
    <row r="356" spans="2:19" ht="15" x14ac:dyDescent="0.2">
      <c r="B356" s="74"/>
      <c r="C356" s="74"/>
      <c r="D356" s="74"/>
      <c r="E356" s="74"/>
      <c r="F356" s="74"/>
      <c r="G356" s="74"/>
      <c r="H356" s="74"/>
      <c r="I356" s="74"/>
      <c r="J356" s="74"/>
      <c r="K356" s="74"/>
      <c r="L356" s="74"/>
      <c r="M356" s="74"/>
      <c r="N356" s="74"/>
      <c r="O356" s="74"/>
      <c r="P356" s="64"/>
      <c r="Q356" s="64"/>
      <c r="R356" s="64"/>
      <c r="S356" s="64"/>
    </row>
    <row r="357" spans="2:19" ht="15" x14ac:dyDescent="0.2">
      <c r="B357" s="74"/>
      <c r="C357" s="74"/>
      <c r="D357" s="74"/>
      <c r="E357" s="74"/>
      <c r="F357" s="74"/>
      <c r="G357" s="74"/>
      <c r="H357" s="74"/>
      <c r="I357" s="74"/>
      <c r="J357" s="74"/>
      <c r="K357" s="74"/>
      <c r="L357" s="74"/>
      <c r="M357" s="74"/>
      <c r="N357" s="74"/>
      <c r="O357" s="74"/>
      <c r="P357" s="64"/>
      <c r="Q357" s="64"/>
      <c r="R357" s="64"/>
      <c r="S357" s="64"/>
    </row>
    <row r="358" spans="2:19" ht="15" x14ac:dyDescent="0.2">
      <c r="B358" s="74"/>
      <c r="C358" s="74"/>
      <c r="D358" s="74"/>
      <c r="E358" s="74"/>
      <c r="F358" s="74"/>
      <c r="G358" s="74"/>
      <c r="H358" s="74"/>
      <c r="I358" s="74"/>
      <c r="J358" s="74"/>
      <c r="K358" s="74"/>
      <c r="L358" s="74"/>
      <c r="M358" s="74"/>
      <c r="N358" s="74"/>
      <c r="O358" s="74"/>
      <c r="P358" s="64"/>
      <c r="Q358" s="64"/>
      <c r="R358" s="64"/>
      <c r="S358" s="64"/>
    </row>
    <row r="359" spans="2:19" ht="15" x14ac:dyDescent="0.2">
      <c r="B359" s="74"/>
      <c r="C359" s="74"/>
      <c r="D359" s="74"/>
      <c r="E359" s="74"/>
      <c r="F359" s="74"/>
      <c r="G359" s="74"/>
      <c r="H359" s="74"/>
      <c r="I359" s="74"/>
      <c r="J359" s="74"/>
      <c r="K359" s="74"/>
      <c r="L359" s="74"/>
      <c r="M359" s="74"/>
      <c r="N359" s="74"/>
      <c r="O359" s="74"/>
      <c r="P359" s="64"/>
      <c r="Q359" s="64"/>
      <c r="R359" s="64"/>
      <c r="S359" s="64"/>
    </row>
    <row r="360" spans="2:19" ht="15" x14ac:dyDescent="0.2">
      <c r="B360" s="74"/>
      <c r="C360" s="74"/>
      <c r="D360" s="74"/>
      <c r="E360" s="74"/>
      <c r="F360" s="74"/>
      <c r="G360" s="74"/>
      <c r="H360" s="74"/>
      <c r="I360" s="74"/>
      <c r="J360" s="74"/>
      <c r="K360" s="74"/>
      <c r="L360" s="74"/>
      <c r="M360" s="74"/>
      <c r="N360" s="74"/>
      <c r="O360" s="74"/>
      <c r="P360" s="64"/>
      <c r="Q360" s="64"/>
      <c r="R360" s="64"/>
      <c r="S360" s="64"/>
    </row>
    <row r="361" spans="2:19" ht="15" x14ac:dyDescent="0.2">
      <c r="B361" s="74"/>
      <c r="C361" s="74"/>
      <c r="D361" s="74"/>
      <c r="E361" s="74"/>
      <c r="F361" s="74"/>
      <c r="G361" s="74"/>
      <c r="H361" s="74"/>
      <c r="I361" s="74"/>
      <c r="J361" s="74"/>
      <c r="K361" s="74"/>
      <c r="L361" s="74"/>
      <c r="M361" s="74"/>
      <c r="N361" s="74"/>
      <c r="O361" s="74"/>
      <c r="P361" s="64"/>
      <c r="Q361" s="64"/>
      <c r="R361" s="64"/>
      <c r="S361" s="64"/>
    </row>
    <row r="362" spans="2:19" ht="15" x14ac:dyDescent="0.2">
      <c r="B362" s="74"/>
      <c r="C362" s="74"/>
      <c r="D362" s="74"/>
      <c r="E362" s="74"/>
      <c r="F362" s="74"/>
      <c r="G362" s="74"/>
      <c r="H362" s="74"/>
      <c r="I362" s="74"/>
      <c r="J362" s="74"/>
      <c r="K362" s="74"/>
      <c r="L362" s="74"/>
      <c r="M362" s="74"/>
      <c r="N362" s="74"/>
      <c r="O362" s="74"/>
      <c r="P362" s="64"/>
      <c r="Q362" s="64"/>
      <c r="R362" s="64"/>
      <c r="S362" s="64"/>
    </row>
    <row r="363" spans="2:19" ht="15" x14ac:dyDescent="0.2">
      <c r="B363" s="74"/>
      <c r="C363" s="74"/>
      <c r="D363" s="74"/>
      <c r="E363" s="74"/>
      <c r="F363" s="74"/>
      <c r="G363" s="74"/>
      <c r="H363" s="74"/>
      <c r="I363" s="74"/>
      <c r="J363" s="74"/>
      <c r="K363" s="74"/>
      <c r="L363" s="74"/>
      <c r="M363" s="74"/>
      <c r="N363" s="74"/>
      <c r="O363" s="74"/>
      <c r="P363" s="64"/>
      <c r="Q363" s="64"/>
      <c r="R363" s="64"/>
      <c r="S363" s="64"/>
    </row>
    <row r="364" spans="2:19" ht="15" x14ac:dyDescent="0.2">
      <c r="B364" s="74"/>
      <c r="C364" s="74"/>
      <c r="D364" s="74"/>
      <c r="E364" s="74"/>
      <c r="F364" s="74"/>
      <c r="G364" s="74"/>
      <c r="H364" s="74"/>
      <c r="I364" s="74"/>
      <c r="J364" s="74"/>
      <c r="K364" s="74"/>
      <c r="L364" s="74"/>
      <c r="M364" s="74"/>
      <c r="N364" s="74"/>
      <c r="O364" s="74"/>
      <c r="P364" s="64"/>
      <c r="Q364" s="64"/>
      <c r="R364" s="64"/>
      <c r="S364" s="64"/>
    </row>
    <row r="365" spans="2:19" ht="15" x14ac:dyDescent="0.2">
      <c r="B365" s="74"/>
      <c r="C365" s="74"/>
      <c r="D365" s="74"/>
      <c r="E365" s="74"/>
      <c r="F365" s="74"/>
      <c r="G365" s="74"/>
      <c r="H365" s="74"/>
      <c r="I365" s="74"/>
      <c r="J365" s="74"/>
      <c r="K365" s="74"/>
      <c r="L365" s="74"/>
      <c r="M365" s="74"/>
      <c r="N365" s="74"/>
      <c r="O365" s="74"/>
      <c r="P365" s="64"/>
      <c r="Q365" s="64"/>
      <c r="R365" s="64"/>
      <c r="S365" s="64"/>
    </row>
    <row r="366" spans="2:19" ht="15" x14ac:dyDescent="0.2">
      <c r="B366" s="74"/>
      <c r="C366" s="74"/>
      <c r="D366" s="74"/>
      <c r="E366" s="74"/>
      <c r="F366" s="74"/>
      <c r="G366" s="74"/>
      <c r="H366" s="74"/>
      <c r="I366" s="74"/>
      <c r="J366" s="74"/>
      <c r="K366" s="74"/>
      <c r="L366" s="74"/>
      <c r="M366" s="74"/>
      <c r="N366" s="74"/>
      <c r="O366" s="74"/>
      <c r="P366" s="64"/>
      <c r="Q366" s="64"/>
      <c r="R366" s="64"/>
      <c r="S366" s="64"/>
    </row>
    <row r="367" spans="2:19" ht="15" x14ac:dyDescent="0.2">
      <c r="B367" s="74"/>
      <c r="C367" s="74"/>
      <c r="D367" s="74"/>
      <c r="E367" s="74"/>
      <c r="F367" s="74"/>
      <c r="G367" s="74"/>
      <c r="H367" s="74"/>
      <c r="I367" s="74"/>
      <c r="J367" s="74"/>
      <c r="K367" s="74"/>
      <c r="L367" s="74"/>
      <c r="M367" s="74"/>
      <c r="N367" s="74"/>
      <c r="O367" s="74"/>
      <c r="P367" s="64"/>
      <c r="Q367" s="64"/>
      <c r="R367" s="64"/>
      <c r="S367" s="64"/>
    </row>
  </sheetData>
  <sheetProtection password="C8C7" sheet="1" objects="1" scenarios="1"/>
  <mergeCells count="78">
    <mergeCell ref="T152:T153"/>
    <mergeCell ref="B164:S164"/>
    <mergeCell ref="B162:S162"/>
    <mergeCell ref="B171:S171"/>
    <mergeCell ref="B161:S161"/>
    <mergeCell ref="B165:S165"/>
    <mergeCell ref="B168:S168"/>
    <mergeCell ref="B170:S170"/>
    <mergeCell ref="B167:S167"/>
    <mergeCell ref="B4:S4"/>
    <mergeCell ref="B5:D5"/>
    <mergeCell ref="B10:S10"/>
    <mergeCell ref="B150:S150"/>
    <mergeCell ref="B14:S14"/>
    <mergeCell ref="B13:S13"/>
    <mergeCell ref="B16:G16"/>
    <mergeCell ref="B18:J18"/>
    <mergeCell ref="B128:S128"/>
    <mergeCell ref="B131:S131"/>
    <mergeCell ref="B134:S134"/>
    <mergeCell ref="B137:S137"/>
    <mergeCell ref="B29:J31"/>
    <mergeCell ref="B69:S69"/>
    <mergeCell ref="B71:S71"/>
    <mergeCell ref="B123:S123"/>
    <mergeCell ref="B226:S226"/>
    <mergeCell ref="B222:S222"/>
    <mergeCell ref="B180:S180"/>
    <mergeCell ref="B188:S188"/>
    <mergeCell ref="B192:S192"/>
    <mergeCell ref="B195:S195"/>
    <mergeCell ref="B198:S198"/>
    <mergeCell ref="B223:S223"/>
    <mergeCell ref="B225:S225"/>
    <mergeCell ref="B182:S182"/>
    <mergeCell ref="B183:S183"/>
    <mergeCell ref="B214:S214"/>
    <mergeCell ref="B206:S206"/>
    <mergeCell ref="B213:S213"/>
    <mergeCell ref="B220:S220"/>
    <mergeCell ref="B210:S210"/>
    <mergeCell ref="B122:S122"/>
    <mergeCell ref="B126:S126"/>
    <mergeCell ref="B144:S144"/>
    <mergeCell ref="B135:S135"/>
    <mergeCell ref="B11:S11"/>
    <mergeCell ref="B77:S77"/>
    <mergeCell ref="B83:S83"/>
    <mergeCell ref="B84:S84"/>
    <mergeCell ref="B125:S125"/>
    <mergeCell ref="B81:S81"/>
    <mergeCell ref="B72:S72"/>
    <mergeCell ref="B129:S129"/>
    <mergeCell ref="B132:S132"/>
    <mergeCell ref="B78:S78"/>
    <mergeCell ref="B127:S127"/>
    <mergeCell ref="B75:S75"/>
    <mergeCell ref="B191:S191"/>
    <mergeCell ref="B185:S185"/>
    <mergeCell ref="B176:S176"/>
    <mergeCell ref="B174:S174"/>
    <mergeCell ref="B179:S179"/>
    <mergeCell ref="B147:S147"/>
    <mergeCell ref="B152:S152"/>
    <mergeCell ref="B138:S138"/>
    <mergeCell ref="B219:S219"/>
    <mergeCell ref="B153:S153"/>
    <mergeCell ref="B158:S158"/>
    <mergeCell ref="B140:S140"/>
    <mergeCell ref="B141:S141"/>
    <mergeCell ref="B143:S143"/>
    <mergeCell ref="B146:S146"/>
    <mergeCell ref="B173:S173"/>
    <mergeCell ref="B177:S177"/>
    <mergeCell ref="B159:S159"/>
    <mergeCell ref="B201:S201"/>
    <mergeCell ref="B186:S186"/>
    <mergeCell ref="B189:S189"/>
  </mergeCells>
  <hyperlinks>
    <hyperlink ref="F5" r:id="rId1"/>
  </hyperlinks>
  <pageMargins left="0.31496062992125984" right="0.23622047244094491" top="1.2598425196850394" bottom="0.74803149606299213" header="0.31496062992125984" footer="0.31496062992125984"/>
  <pageSetup paperSize="9" scale="46" fitToHeight="8" orientation="portrait" r:id="rId2"/>
  <headerFooter>
    <oddHeader>&amp;R&amp;G</oddHeader>
    <oddFooter>&amp;LStand: 30.06.2020&amp;CMFF-Endabrechnung 2019
&amp;A
&amp;P&amp;R&amp;G</oddFooter>
  </headerFooter>
  <rowBreaks count="3" manualBreakCount="3">
    <brk id="76" min="1" max="18" man="1"/>
    <brk id="145" min="1" max="18" man="1"/>
    <brk id="187" min="1" max="18" man="1"/>
  </rowBreaks>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9"/>
  <sheetViews>
    <sheetView topLeftCell="A395" workbookViewId="0">
      <selection activeCell="A496" sqref="A496"/>
    </sheetView>
  </sheetViews>
  <sheetFormatPr baseColWidth="10" defaultRowHeight="12.75" x14ac:dyDescent="0.2"/>
  <cols>
    <col min="1" max="1" width="15.5703125" bestFit="1" customWidth="1"/>
    <col min="2" max="2" width="32.7109375" bestFit="1" customWidth="1"/>
  </cols>
  <sheetData>
    <row r="1" spans="1:2" x14ac:dyDescent="0.2">
      <c r="A1" s="483" t="s">
        <v>3</v>
      </c>
      <c r="B1" s="484" t="s">
        <v>328</v>
      </c>
    </row>
    <row r="2" spans="1:2" x14ac:dyDescent="0.2">
      <c r="A2" s="272">
        <v>1620020006</v>
      </c>
      <c r="B2" s="485">
        <v>0</v>
      </c>
    </row>
    <row r="3" spans="1:2" x14ac:dyDescent="0.2">
      <c r="A3" s="272">
        <v>1620020007</v>
      </c>
      <c r="B3" s="485">
        <v>1397.59</v>
      </c>
    </row>
    <row r="4" spans="1:2" x14ac:dyDescent="0.2">
      <c r="A4" s="272">
        <v>1620020008</v>
      </c>
      <c r="B4" s="485">
        <v>4791.72</v>
      </c>
    </row>
    <row r="5" spans="1:2" x14ac:dyDescent="0.2">
      <c r="A5" s="272">
        <v>1620020018</v>
      </c>
      <c r="B5" s="485">
        <v>0</v>
      </c>
    </row>
    <row r="6" spans="1:2" x14ac:dyDescent="0.2">
      <c r="A6" s="272">
        <v>1620020023</v>
      </c>
      <c r="B6" s="485">
        <v>0</v>
      </c>
    </row>
    <row r="7" spans="1:2" x14ac:dyDescent="0.2">
      <c r="A7" s="272">
        <v>1620020024</v>
      </c>
      <c r="B7" s="485">
        <v>798.62</v>
      </c>
    </row>
    <row r="8" spans="1:2" x14ac:dyDescent="0.2">
      <c r="A8" s="272">
        <v>1620020025</v>
      </c>
      <c r="B8" s="485">
        <v>172984.95999999999</v>
      </c>
    </row>
    <row r="9" spans="1:2" x14ac:dyDescent="0.2">
      <c r="A9" s="272">
        <v>1620020026</v>
      </c>
      <c r="B9" s="485">
        <v>798.62</v>
      </c>
    </row>
    <row r="10" spans="1:2" x14ac:dyDescent="0.2">
      <c r="A10" s="272">
        <v>1620020029</v>
      </c>
      <c r="B10" s="485">
        <v>10721.47</v>
      </c>
    </row>
    <row r="11" spans="1:2" x14ac:dyDescent="0.2">
      <c r="A11" s="272">
        <v>1620020030</v>
      </c>
      <c r="B11" s="485">
        <v>18867.400000000001</v>
      </c>
    </row>
    <row r="12" spans="1:2" x14ac:dyDescent="0.2">
      <c r="A12" s="272">
        <v>1620020033</v>
      </c>
      <c r="B12" s="485">
        <v>221617.05</v>
      </c>
    </row>
    <row r="13" spans="1:2" x14ac:dyDescent="0.2">
      <c r="A13" s="272">
        <v>1620020036</v>
      </c>
      <c r="B13" s="485">
        <v>0</v>
      </c>
    </row>
    <row r="14" spans="1:2" x14ac:dyDescent="0.2">
      <c r="A14" s="272">
        <v>1620020038</v>
      </c>
      <c r="B14" s="485">
        <v>8585.17</v>
      </c>
    </row>
    <row r="15" spans="1:2" x14ac:dyDescent="0.2">
      <c r="A15" s="272">
        <v>1620020039</v>
      </c>
      <c r="B15" s="485">
        <v>0</v>
      </c>
    </row>
    <row r="16" spans="1:2" x14ac:dyDescent="0.2">
      <c r="A16" s="272">
        <v>1620020040</v>
      </c>
      <c r="B16" s="485">
        <v>5590.34</v>
      </c>
    </row>
    <row r="17" spans="1:2" x14ac:dyDescent="0.2">
      <c r="A17" s="272">
        <v>1620020042</v>
      </c>
      <c r="B17" s="485">
        <v>0</v>
      </c>
    </row>
    <row r="18" spans="1:2" x14ac:dyDescent="0.2">
      <c r="A18" s="272">
        <v>1620020045</v>
      </c>
      <c r="B18" s="485">
        <v>0</v>
      </c>
    </row>
    <row r="19" spans="1:2" x14ac:dyDescent="0.2">
      <c r="A19" s="272">
        <v>1620020047</v>
      </c>
      <c r="B19" s="485">
        <v>1297.76</v>
      </c>
    </row>
    <row r="20" spans="1:2" x14ac:dyDescent="0.2">
      <c r="A20" s="272">
        <v>1620020049</v>
      </c>
      <c r="B20" s="485">
        <v>0</v>
      </c>
    </row>
    <row r="21" spans="1:2" x14ac:dyDescent="0.2">
      <c r="A21" s="272">
        <v>1620020051</v>
      </c>
      <c r="B21" s="485">
        <v>0</v>
      </c>
    </row>
    <row r="22" spans="1:2" x14ac:dyDescent="0.2">
      <c r="A22" s="272">
        <v>1620020052</v>
      </c>
      <c r="B22" s="485">
        <v>2395.86</v>
      </c>
    </row>
    <row r="23" spans="1:2" x14ac:dyDescent="0.2">
      <c r="A23" s="272">
        <v>1620020055</v>
      </c>
      <c r="B23" s="485">
        <v>698.79</v>
      </c>
    </row>
    <row r="24" spans="1:2" x14ac:dyDescent="0.2">
      <c r="A24" s="272">
        <v>1620020056</v>
      </c>
      <c r="B24" s="485">
        <v>0</v>
      </c>
    </row>
    <row r="25" spans="1:2" x14ac:dyDescent="0.2">
      <c r="A25" s="272">
        <v>1620020058</v>
      </c>
      <c r="B25" s="485">
        <v>0</v>
      </c>
    </row>
    <row r="26" spans="1:2" x14ac:dyDescent="0.2">
      <c r="A26" s="272">
        <v>1620020060</v>
      </c>
      <c r="B26" s="485">
        <v>0</v>
      </c>
    </row>
    <row r="27" spans="1:2" x14ac:dyDescent="0.2">
      <c r="A27" s="272">
        <v>1620020062</v>
      </c>
      <c r="B27" s="485">
        <v>11419.79</v>
      </c>
    </row>
    <row r="28" spans="1:2" x14ac:dyDescent="0.2">
      <c r="A28" s="272">
        <v>1620020064</v>
      </c>
      <c r="B28" s="485">
        <v>0</v>
      </c>
    </row>
    <row r="29" spans="1:2" x14ac:dyDescent="0.2">
      <c r="A29" s="272">
        <v>1620020067</v>
      </c>
      <c r="B29" s="485">
        <v>1290.93</v>
      </c>
    </row>
    <row r="30" spans="1:2" x14ac:dyDescent="0.2">
      <c r="A30" s="272">
        <v>1620020069</v>
      </c>
      <c r="B30" s="485">
        <v>0</v>
      </c>
    </row>
    <row r="31" spans="1:2" x14ac:dyDescent="0.2">
      <c r="A31" s="272">
        <v>1620020070</v>
      </c>
      <c r="B31" s="485">
        <v>3094.65</v>
      </c>
    </row>
    <row r="32" spans="1:2" x14ac:dyDescent="0.2">
      <c r="A32" s="272">
        <v>1620020072</v>
      </c>
      <c r="B32" s="485">
        <v>0</v>
      </c>
    </row>
    <row r="33" spans="1:2" x14ac:dyDescent="0.2">
      <c r="A33" s="272">
        <v>1620020073</v>
      </c>
      <c r="B33" s="485">
        <v>0</v>
      </c>
    </row>
    <row r="34" spans="1:2" x14ac:dyDescent="0.2">
      <c r="A34" s="272">
        <v>1620020082</v>
      </c>
      <c r="B34" s="485">
        <v>1896.72</v>
      </c>
    </row>
    <row r="35" spans="1:2" x14ac:dyDescent="0.2">
      <c r="A35" s="272">
        <v>1620020084</v>
      </c>
      <c r="B35" s="485">
        <v>0</v>
      </c>
    </row>
    <row r="36" spans="1:2" x14ac:dyDescent="0.2">
      <c r="A36" s="272">
        <v>1620020085</v>
      </c>
      <c r="B36" s="485">
        <v>0</v>
      </c>
    </row>
    <row r="37" spans="1:2" x14ac:dyDescent="0.2">
      <c r="A37" s="272">
        <v>1620020087</v>
      </c>
      <c r="B37" s="485">
        <v>0</v>
      </c>
    </row>
    <row r="38" spans="1:2" x14ac:dyDescent="0.2">
      <c r="A38" s="272">
        <v>1620020088</v>
      </c>
      <c r="B38" s="485">
        <v>0</v>
      </c>
    </row>
    <row r="39" spans="1:2" x14ac:dyDescent="0.2">
      <c r="A39" s="272">
        <v>1620020091</v>
      </c>
      <c r="B39" s="485">
        <v>1597.24</v>
      </c>
    </row>
    <row r="40" spans="1:2" x14ac:dyDescent="0.2">
      <c r="A40" s="272">
        <v>1620020092</v>
      </c>
      <c r="B40" s="485">
        <v>1497.41</v>
      </c>
    </row>
    <row r="41" spans="1:2" x14ac:dyDescent="0.2">
      <c r="A41" s="272">
        <v>1620020094</v>
      </c>
      <c r="B41" s="485">
        <v>0</v>
      </c>
    </row>
    <row r="42" spans="1:2" x14ac:dyDescent="0.2">
      <c r="A42" s="272">
        <v>1620020097</v>
      </c>
      <c r="B42" s="485">
        <v>0</v>
      </c>
    </row>
    <row r="43" spans="1:2" x14ac:dyDescent="0.2">
      <c r="A43" s="272">
        <v>1620020098</v>
      </c>
      <c r="B43" s="485">
        <v>1796.9</v>
      </c>
    </row>
    <row r="44" spans="1:2" x14ac:dyDescent="0.2">
      <c r="A44" s="272">
        <v>1620020099</v>
      </c>
      <c r="B44" s="485">
        <v>1688.14</v>
      </c>
    </row>
    <row r="45" spans="1:2" x14ac:dyDescent="0.2">
      <c r="A45" s="272">
        <v>1620020103</v>
      </c>
      <c r="B45" s="485">
        <v>101524.57</v>
      </c>
    </row>
    <row r="46" spans="1:2" x14ac:dyDescent="0.2">
      <c r="A46" s="272">
        <v>1620020109</v>
      </c>
      <c r="B46" s="485">
        <v>1397.59</v>
      </c>
    </row>
    <row r="47" spans="1:2" x14ac:dyDescent="0.2">
      <c r="A47" s="272">
        <v>1620020110</v>
      </c>
      <c r="B47" s="485">
        <v>13776.2</v>
      </c>
    </row>
    <row r="48" spans="1:2" x14ac:dyDescent="0.2">
      <c r="A48" s="272">
        <v>1620020114</v>
      </c>
      <c r="B48" s="485">
        <v>0</v>
      </c>
    </row>
    <row r="49" spans="1:2" x14ac:dyDescent="0.2">
      <c r="A49" s="272">
        <v>1620020115</v>
      </c>
      <c r="B49" s="485">
        <v>3893.27</v>
      </c>
    </row>
    <row r="50" spans="1:2" x14ac:dyDescent="0.2">
      <c r="A50" s="272">
        <v>1620020117</v>
      </c>
      <c r="B50" s="485">
        <v>0</v>
      </c>
    </row>
    <row r="51" spans="1:2" x14ac:dyDescent="0.2">
      <c r="A51" s="272">
        <v>1620020119</v>
      </c>
      <c r="B51" s="485">
        <v>0</v>
      </c>
    </row>
    <row r="52" spans="1:2" x14ac:dyDescent="0.2">
      <c r="A52" s="272">
        <v>1620020121</v>
      </c>
      <c r="B52" s="485">
        <v>10481.89</v>
      </c>
    </row>
    <row r="53" spans="1:2" x14ac:dyDescent="0.2">
      <c r="A53" s="272">
        <v>1620020122</v>
      </c>
      <c r="B53" s="485">
        <v>0</v>
      </c>
    </row>
    <row r="54" spans="1:2" x14ac:dyDescent="0.2">
      <c r="A54" s="272">
        <v>1620020125</v>
      </c>
      <c r="B54" s="485">
        <v>9632.34</v>
      </c>
    </row>
    <row r="55" spans="1:2" x14ac:dyDescent="0.2">
      <c r="A55" s="272">
        <v>1620020126</v>
      </c>
      <c r="B55" s="485">
        <v>2096.38</v>
      </c>
    </row>
    <row r="56" spans="1:2" x14ac:dyDescent="0.2">
      <c r="A56" s="272">
        <v>1620020127</v>
      </c>
      <c r="B56" s="485">
        <v>2196.21</v>
      </c>
    </row>
    <row r="57" spans="1:2" x14ac:dyDescent="0.2">
      <c r="A57" s="272">
        <v>1620020138</v>
      </c>
      <c r="B57" s="485">
        <v>19166.88</v>
      </c>
    </row>
    <row r="58" spans="1:2" x14ac:dyDescent="0.2">
      <c r="A58" s="272">
        <v>1620020144</v>
      </c>
      <c r="B58" s="485">
        <v>798.62</v>
      </c>
    </row>
    <row r="59" spans="1:2" x14ac:dyDescent="0.2">
      <c r="A59" s="272">
        <v>1620020148</v>
      </c>
      <c r="B59" s="485">
        <v>115300.76</v>
      </c>
    </row>
    <row r="60" spans="1:2" x14ac:dyDescent="0.2">
      <c r="A60" s="272">
        <v>1620020151</v>
      </c>
      <c r="B60" s="485">
        <v>13576.54</v>
      </c>
    </row>
    <row r="61" spans="1:2" x14ac:dyDescent="0.2">
      <c r="A61" s="272">
        <v>1620020168</v>
      </c>
      <c r="B61" s="485">
        <v>16671.189999999999</v>
      </c>
    </row>
    <row r="62" spans="1:2" x14ac:dyDescent="0.2">
      <c r="A62" s="272">
        <v>1620020175</v>
      </c>
      <c r="B62" s="485">
        <v>8784.82</v>
      </c>
    </row>
    <row r="63" spans="1:2" x14ac:dyDescent="0.2">
      <c r="A63" s="272">
        <v>1620020177</v>
      </c>
      <c r="B63" s="485">
        <v>3194.48</v>
      </c>
    </row>
    <row r="64" spans="1:2" x14ac:dyDescent="0.2">
      <c r="A64" s="272">
        <v>1620020181</v>
      </c>
      <c r="B64" s="485">
        <v>0</v>
      </c>
    </row>
    <row r="65" spans="1:2" x14ac:dyDescent="0.2">
      <c r="A65" s="272">
        <v>1620020183</v>
      </c>
      <c r="B65" s="485">
        <v>2695.34</v>
      </c>
    </row>
    <row r="66" spans="1:2" x14ac:dyDescent="0.2">
      <c r="A66" s="272">
        <v>1620020188</v>
      </c>
      <c r="B66" s="485">
        <v>2395.86</v>
      </c>
    </row>
    <row r="67" spans="1:2" x14ac:dyDescent="0.2">
      <c r="A67" s="272">
        <v>1620020190</v>
      </c>
      <c r="B67" s="485">
        <v>0</v>
      </c>
    </row>
    <row r="68" spans="1:2" x14ac:dyDescent="0.2">
      <c r="A68" s="272">
        <v>1620020192</v>
      </c>
      <c r="B68" s="485">
        <v>0</v>
      </c>
    </row>
    <row r="69" spans="1:2" x14ac:dyDescent="0.2">
      <c r="A69" s="272">
        <v>1620020195</v>
      </c>
      <c r="B69" s="485">
        <v>4192.76</v>
      </c>
    </row>
    <row r="70" spans="1:2" x14ac:dyDescent="0.2">
      <c r="A70" s="272">
        <v>1620020197</v>
      </c>
      <c r="B70" s="485">
        <v>3793.45</v>
      </c>
    </row>
    <row r="71" spans="1:2" x14ac:dyDescent="0.2">
      <c r="A71" s="272">
        <v>1620020199</v>
      </c>
      <c r="B71" s="485">
        <v>2096.38</v>
      </c>
    </row>
    <row r="72" spans="1:2" x14ac:dyDescent="0.2">
      <c r="A72" s="272">
        <v>1620020200</v>
      </c>
      <c r="B72" s="485">
        <v>1597.24</v>
      </c>
    </row>
    <row r="73" spans="1:2" x14ac:dyDescent="0.2">
      <c r="A73" s="272">
        <v>1620020203</v>
      </c>
      <c r="B73" s="485">
        <v>0</v>
      </c>
    </row>
    <row r="74" spans="1:2" x14ac:dyDescent="0.2">
      <c r="A74" s="272">
        <v>1620020206</v>
      </c>
      <c r="B74" s="485">
        <v>0</v>
      </c>
    </row>
    <row r="75" spans="1:2" x14ac:dyDescent="0.2">
      <c r="A75" s="272">
        <v>1620020214</v>
      </c>
      <c r="B75" s="485">
        <v>998.28</v>
      </c>
    </row>
    <row r="76" spans="1:2" x14ac:dyDescent="0.2">
      <c r="A76" s="272">
        <v>1620020216</v>
      </c>
      <c r="B76" s="485">
        <v>3194.48</v>
      </c>
    </row>
    <row r="77" spans="1:2" x14ac:dyDescent="0.2">
      <c r="A77" s="272">
        <v>1620020218</v>
      </c>
      <c r="B77" s="485">
        <v>6888.1</v>
      </c>
    </row>
    <row r="78" spans="1:2" x14ac:dyDescent="0.2">
      <c r="A78" s="272">
        <v>1620020220</v>
      </c>
      <c r="B78" s="485">
        <v>6289.13</v>
      </c>
    </row>
    <row r="79" spans="1:2" x14ac:dyDescent="0.2">
      <c r="A79" s="272">
        <v>1620020221</v>
      </c>
      <c r="B79" s="485">
        <v>1197.93</v>
      </c>
    </row>
    <row r="80" spans="1:2" x14ac:dyDescent="0.2">
      <c r="A80" s="272">
        <v>1620020226</v>
      </c>
      <c r="B80" s="485">
        <v>499.14</v>
      </c>
    </row>
    <row r="81" spans="1:2" x14ac:dyDescent="0.2">
      <c r="A81" s="272">
        <v>1620020227</v>
      </c>
      <c r="B81" s="485">
        <v>0</v>
      </c>
    </row>
    <row r="82" spans="1:2" x14ac:dyDescent="0.2">
      <c r="A82" s="272">
        <v>1620020228</v>
      </c>
      <c r="B82" s="485">
        <v>698.79</v>
      </c>
    </row>
    <row r="83" spans="1:2" x14ac:dyDescent="0.2">
      <c r="A83" s="272">
        <v>1620020235</v>
      </c>
      <c r="B83" s="485">
        <v>0</v>
      </c>
    </row>
    <row r="84" spans="1:2" x14ac:dyDescent="0.2">
      <c r="A84" s="272">
        <v>1620020236</v>
      </c>
      <c r="B84" s="485">
        <v>0</v>
      </c>
    </row>
    <row r="85" spans="1:2" x14ac:dyDescent="0.2">
      <c r="A85" s="272">
        <v>1620020237</v>
      </c>
      <c r="B85" s="485">
        <v>17569.64</v>
      </c>
    </row>
    <row r="86" spans="1:2" x14ac:dyDescent="0.2">
      <c r="A86" s="272">
        <v>1620020238</v>
      </c>
      <c r="B86" s="485">
        <v>0</v>
      </c>
    </row>
    <row r="87" spans="1:2" x14ac:dyDescent="0.2">
      <c r="A87" s="272">
        <v>1620020239</v>
      </c>
      <c r="B87" s="485">
        <v>0</v>
      </c>
    </row>
    <row r="88" spans="1:2" x14ac:dyDescent="0.2">
      <c r="A88" s="272">
        <v>1620020242</v>
      </c>
      <c r="B88" s="485">
        <v>22201.64</v>
      </c>
    </row>
    <row r="89" spans="1:2" x14ac:dyDescent="0.2">
      <c r="A89" s="272">
        <v>1620020245</v>
      </c>
      <c r="B89" s="485">
        <v>0</v>
      </c>
    </row>
    <row r="90" spans="1:2" x14ac:dyDescent="0.2">
      <c r="A90" s="272">
        <v>1620020247</v>
      </c>
      <c r="B90" s="485">
        <v>35338.94</v>
      </c>
    </row>
    <row r="91" spans="1:2" x14ac:dyDescent="0.2">
      <c r="A91" s="272">
        <v>1620020253</v>
      </c>
      <c r="B91" s="485">
        <v>0</v>
      </c>
    </row>
    <row r="92" spans="1:2" x14ac:dyDescent="0.2">
      <c r="A92" s="272">
        <v>1620020254</v>
      </c>
      <c r="B92" s="485">
        <v>81559.070000000007</v>
      </c>
    </row>
    <row r="93" spans="1:2" x14ac:dyDescent="0.2">
      <c r="A93" s="272">
        <v>1620020258</v>
      </c>
      <c r="B93" s="485">
        <v>4292.58</v>
      </c>
    </row>
    <row r="94" spans="1:2" x14ac:dyDescent="0.2">
      <c r="A94" s="272">
        <v>1620020259</v>
      </c>
      <c r="B94" s="485">
        <v>0</v>
      </c>
    </row>
    <row r="95" spans="1:2" x14ac:dyDescent="0.2">
      <c r="A95" s="272">
        <v>1620020261</v>
      </c>
      <c r="B95" s="485">
        <v>30347.56</v>
      </c>
    </row>
    <row r="96" spans="1:2" x14ac:dyDescent="0.2">
      <c r="A96" s="272">
        <v>1620020263</v>
      </c>
      <c r="B96" s="485">
        <v>0</v>
      </c>
    </row>
    <row r="97" spans="1:2" x14ac:dyDescent="0.2">
      <c r="A97" s="272">
        <v>1620020266</v>
      </c>
      <c r="B97" s="485">
        <v>0</v>
      </c>
    </row>
    <row r="98" spans="1:2" x14ac:dyDescent="0.2">
      <c r="A98" s="272">
        <v>1620020269</v>
      </c>
      <c r="B98" s="485">
        <v>898.45</v>
      </c>
    </row>
    <row r="99" spans="1:2" x14ac:dyDescent="0.2">
      <c r="A99" s="272">
        <v>1620020270</v>
      </c>
      <c r="B99" s="485">
        <v>39931</v>
      </c>
    </row>
    <row r="100" spans="1:2" x14ac:dyDescent="0.2">
      <c r="A100" s="272">
        <v>1620020272</v>
      </c>
      <c r="B100" s="485">
        <v>2395.86</v>
      </c>
    </row>
    <row r="101" spans="1:2" x14ac:dyDescent="0.2">
      <c r="A101" s="272">
        <v>1620020274</v>
      </c>
      <c r="B101" s="485">
        <v>0</v>
      </c>
    </row>
    <row r="102" spans="1:2" x14ac:dyDescent="0.2">
      <c r="A102" s="272">
        <v>1620020276</v>
      </c>
      <c r="B102" s="485">
        <v>19266.71</v>
      </c>
    </row>
    <row r="103" spans="1:2" x14ac:dyDescent="0.2">
      <c r="A103" s="272">
        <v>1620020278</v>
      </c>
      <c r="B103" s="485">
        <v>0</v>
      </c>
    </row>
    <row r="104" spans="1:2" x14ac:dyDescent="0.2">
      <c r="A104" s="272">
        <v>1620020280</v>
      </c>
      <c r="B104" s="485">
        <v>0</v>
      </c>
    </row>
    <row r="105" spans="1:2" x14ac:dyDescent="0.2">
      <c r="A105" s="272">
        <v>1620020281</v>
      </c>
      <c r="B105" s="485">
        <v>12278.78</v>
      </c>
    </row>
    <row r="106" spans="1:2" x14ac:dyDescent="0.2">
      <c r="A106" s="272">
        <v>1620020283</v>
      </c>
      <c r="B106" s="485">
        <v>88047.86</v>
      </c>
    </row>
    <row r="107" spans="1:2" x14ac:dyDescent="0.2">
      <c r="A107" s="272">
        <v>1620020284</v>
      </c>
      <c r="B107" s="485">
        <v>898.45</v>
      </c>
    </row>
    <row r="108" spans="1:2" x14ac:dyDescent="0.2">
      <c r="A108" s="272">
        <v>1620020286</v>
      </c>
      <c r="B108" s="485">
        <v>1197.93</v>
      </c>
    </row>
    <row r="109" spans="1:2" x14ac:dyDescent="0.2">
      <c r="A109" s="272">
        <v>1620020288</v>
      </c>
      <c r="B109" s="485">
        <v>998.28</v>
      </c>
    </row>
    <row r="110" spans="1:2" x14ac:dyDescent="0.2">
      <c r="A110" s="272">
        <v>1620020291</v>
      </c>
      <c r="B110" s="485">
        <v>0</v>
      </c>
    </row>
    <row r="111" spans="1:2" x14ac:dyDescent="0.2">
      <c r="A111" s="272">
        <v>1620020293</v>
      </c>
      <c r="B111" s="485">
        <v>0</v>
      </c>
    </row>
    <row r="112" spans="1:2" x14ac:dyDescent="0.2">
      <c r="A112" s="272">
        <v>1620020297</v>
      </c>
      <c r="B112" s="485">
        <v>1098.0999999999999</v>
      </c>
    </row>
    <row r="113" spans="1:2" x14ac:dyDescent="0.2">
      <c r="A113" s="272">
        <v>1620020299</v>
      </c>
      <c r="B113" s="485">
        <v>4192.76</v>
      </c>
    </row>
    <row r="114" spans="1:2" x14ac:dyDescent="0.2">
      <c r="A114" s="272">
        <v>1620020300</v>
      </c>
      <c r="B114" s="485">
        <v>30746.87</v>
      </c>
    </row>
    <row r="115" spans="1:2" x14ac:dyDescent="0.2">
      <c r="A115" s="272">
        <v>1620020302</v>
      </c>
      <c r="B115" s="485">
        <v>2595.52</v>
      </c>
    </row>
    <row r="116" spans="1:2" x14ac:dyDescent="0.2">
      <c r="A116" s="272">
        <v>1620020303</v>
      </c>
      <c r="B116" s="485">
        <v>0</v>
      </c>
    </row>
    <row r="117" spans="1:2" x14ac:dyDescent="0.2">
      <c r="A117" s="272">
        <v>1620020305</v>
      </c>
      <c r="B117" s="485">
        <v>11180.68</v>
      </c>
    </row>
    <row r="118" spans="1:2" x14ac:dyDescent="0.2">
      <c r="A118" s="272">
        <v>1620020308</v>
      </c>
      <c r="B118" s="485">
        <v>105817.15</v>
      </c>
    </row>
    <row r="119" spans="1:2" x14ac:dyDescent="0.2">
      <c r="A119" s="272">
        <v>1620020309</v>
      </c>
      <c r="B119" s="485">
        <v>15273.61</v>
      </c>
    </row>
    <row r="120" spans="1:2" x14ac:dyDescent="0.2">
      <c r="A120" s="272">
        <v>1620020311</v>
      </c>
      <c r="B120" s="485">
        <v>1597.24</v>
      </c>
    </row>
    <row r="121" spans="1:2" x14ac:dyDescent="0.2">
      <c r="A121" s="272">
        <v>1620020312</v>
      </c>
      <c r="B121" s="485">
        <v>0</v>
      </c>
    </row>
    <row r="122" spans="1:2" x14ac:dyDescent="0.2">
      <c r="A122" s="272">
        <v>1620020314</v>
      </c>
      <c r="B122" s="485">
        <v>0</v>
      </c>
    </row>
    <row r="123" spans="1:2" x14ac:dyDescent="0.2">
      <c r="A123" s="272">
        <v>1620020315</v>
      </c>
      <c r="B123" s="485">
        <v>7886.37</v>
      </c>
    </row>
    <row r="124" spans="1:2" x14ac:dyDescent="0.2">
      <c r="A124" s="272">
        <v>1620020316</v>
      </c>
      <c r="B124" s="485">
        <v>0</v>
      </c>
    </row>
    <row r="125" spans="1:2" x14ac:dyDescent="0.2">
      <c r="A125" s="272">
        <v>1620020317</v>
      </c>
      <c r="B125" s="485">
        <v>2395.86</v>
      </c>
    </row>
    <row r="126" spans="1:2" x14ac:dyDescent="0.2">
      <c r="A126" s="272">
        <v>1620020318</v>
      </c>
      <c r="B126" s="485">
        <v>0</v>
      </c>
    </row>
    <row r="127" spans="1:2" x14ac:dyDescent="0.2">
      <c r="A127" s="272">
        <v>1620020328</v>
      </c>
      <c r="B127" s="485">
        <v>1697.07</v>
      </c>
    </row>
    <row r="128" spans="1:2" x14ac:dyDescent="0.2">
      <c r="A128" s="272">
        <v>1620020331</v>
      </c>
      <c r="B128" s="485">
        <v>0</v>
      </c>
    </row>
    <row r="129" spans="1:2" x14ac:dyDescent="0.2">
      <c r="A129" s="272">
        <v>1620020332</v>
      </c>
      <c r="B129" s="485">
        <v>4492.24</v>
      </c>
    </row>
    <row r="130" spans="1:2" x14ac:dyDescent="0.2">
      <c r="A130" s="272">
        <v>1620020339</v>
      </c>
      <c r="B130" s="485">
        <v>0</v>
      </c>
    </row>
    <row r="131" spans="1:2" x14ac:dyDescent="0.2">
      <c r="A131" s="272">
        <v>1620020341</v>
      </c>
      <c r="B131" s="485">
        <v>0</v>
      </c>
    </row>
    <row r="132" spans="1:2" x14ac:dyDescent="0.2">
      <c r="A132" s="272">
        <v>1620020344</v>
      </c>
      <c r="B132" s="485">
        <v>12810.02</v>
      </c>
    </row>
    <row r="133" spans="1:2" x14ac:dyDescent="0.2">
      <c r="A133" s="272">
        <v>1620020348</v>
      </c>
      <c r="B133" s="485">
        <v>3294.31</v>
      </c>
    </row>
    <row r="134" spans="1:2" x14ac:dyDescent="0.2">
      <c r="A134" s="272">
        <v>1620020349</v>
      </c>
      <c r="B134" s="485">
        <v>29948.25</v>
      </c>
    </row>
    <row r="135" spans="1:2" x14ac:dyDescent="0.2">
      <c r="A135" s="272">
        <v>1620020350</v>
      </c>
      <c r="B135" s="485">
        <v>0</v>
      </c>
    </row>
    <row r="136" spans="1:2" x14ac:dyDescent="0.2">
      <c r="A136" s="272">
        <v>1620020356</v>
      </c>
      <c r="B136" s="485">
        <v>0</v>
      </c>
    </row>
    <row r="137" spans="1:2" x14ac:dyDescent="0.2">
      <c r="A137" s="272">
        <v>1620020357</v>
      </c>
      <c r="B137" s="485">
        <v>0</v>
      </c>
    </row>
    <row r="138" spans="1:2" x14ac:dyDescent="0.2">
      <c r="A138" s="272">
        <v>1620020360</v>
      </c>
      <c r="B138" s="485">
        <v>798.62</v>
      </c>
    </row>
    <row r="139" spans="1:2" x14ac:dyDescent="0.2">
      <c r="A139" s="272">
        <v>1620020364</v>
      </c>
      <c r="B139" s="485">
        <v>3194.48</v>
      </c>
    </row>
    <row r="140" spans="1:2" x14ac:dyDescent="0.2">
      <c r="A140" s="272">
        <v>1620020365</v>
      </c>
      <c r="B140" s="485">
        <v>1597.24</v>
      </c>
    </row>
    <row r="141" spans="1:2" x14ac:dyDescent="0.2">
      <c r="A141" s="272">
        <v>1620020366</v>
      </c>
      <c r="B141" s="485">
        <v>2994.83</v>
      </c>
    </row>
    <row r="142" spans="1:2" x14ac:dyDescent="0.2">
      <c r="A142" s="272">
        <v>1620020375</v>
      </c>
      <c r="B142" s="485">
        <v>68282.009999999995</v>
      </c>
    </row>
    <row r="143" spans="1:2" x14ac:dyDescent="0.2">
      <c r="A143" s="272">
        <v>1620020378</v>
      </c>
      <c r="B143" s="485">
        <v>85995.97</v>
      </c>
    </row>
    <row r="144" spans="1:2" x14ac:dyDescent="0.2">
      <c r="A144" s="272">
        <v>1620020380</v>
      </c>
      <c r="B144" s="485">
        <v>22461.19</v>
      </c>
    </row>
    <row r="145" spans="1:2" x14ac:dyDescent="0.2">
      <c r="A145" s="272">
        <v>1620020385</v>
      </c>
      <c r="B145" s="485">
        <v>5390.69</v>
      </c>
    </row>
    <row r="146" spans="1:2" x14ac:dyDescent="0.2">
      <c r="A146" s="272">
        <v>1620020390</v>
      </c>
      <c r="B146" s="485">
        <v>0</v>
      </c>
    </row>
    <row r="147" spans="1:2" x14ac:dyDescent="0.2">
      <c r="A147" s="272">
        <v>1620020406</v>
      </c>
      <c r="B147" s="485">
        <v>141206</v>
      </c>
    </row>
    <row r="148" spans="1:2" x14ac:dyDescent="0.2">
      <c r="A148" s="272">
        <v>1620020409</v>
      </c>
      <c r="B148" s="485">
        <v>2395.86</v>
      </c>
    </row>
    <row r="149" spans="1:2" x14ac:dyDescent="0.2">
      <c r="A149" s="272">
        <v>1620020412</v>
      </c>
      <c r="B149" s="485">
        <v>0</v>
      </c>
    </row>
    <row r="150" spans="1:2" x14ac:dyDescent="0.2">
      <c r="A150" s="272">
        <v>1620020413</v>
      </c>
      <c r="B150" s="485">
        <v>36736.519999999997</v>
      </c>
    </row>
    <row r="151" spans="1:2" x14ac:dyDescent="0.2">
      <c r="A151" s="272">
        <v>1620020417</v>
      </c>
      <c r="B151" s="485">
        <v>0</v>
      </c>
    </row>
    <row r="152" spans="1:2" x14ac:dyDescent="0.2">
      <c r="A152" s="272">
        <v>1620020436</v>
      </c>
      <c r="B152" s="485">
        <v>998.28</v>
      </c>
    </row>
    <row r="153" spans="1:2" x14ac:dyDescent="0.2">
      <c r="A153" s="272">
        <v>1620020447</v>
      </c>
      <c r="B153" s="485">
        <v>0</v>
      </c>
    </row>
    <row r="154" spans="1:2" x14ac:dyDescent="0.2">
      <c r="A154" s="272">
        <v>1620020448</v>
      </c>
      <c r="B154" s="485">
        <v>4791.72</v>
      </c>
    </row>
    <row r="155" spans="1:2" x14ac:dyDescent="0.2">
      <c r="A155" s="272">
        <v>1620020449</v>
      </c>
      <c r="B155" s="485">
        <v>794.42</v>
      </c>
    </row>
    <row r="156" spans="1:2" x14ac:dyDescent="0.2">
      <c r="A156" s="272">
        <v>1620020451</v>
      </c>
      <c r="B156" s="485">
        <v>3194.48</v>
      </c>
    </row>
    <row r="157" spans="1:2" x14ac:dyDescent="0.2">
      <c r="A157" s="272">
        <v>1620020464</v>
      </c>
      <c r="B157" s="485">
        <v>0</v>
      </c>
    </row>
    <row r="158" spans="1:2" x14ac:dyDescent="0.2">
      <c r="A158" s="272">
        <v>1620020469</v>
      </c>
      <c r="B158" s="485">
        <v>7686.72</v>
      </c>
    </row>
    <row r="159" spans="1:2" x14ac:dyDescent="0.2">
      <c r="A159" s="272">
        <v>1620020471</v>
      </c>
      <c r="B159" s="485">
        <v>798.62</v>
      </c>
    </row>
    <row r="160" spans="1:2" x14ac:dyDescent="0.2">
      <c r="A160" s="272">
        <v>1620020472</v>
      </c>
      <c r="B160" s="485">
        <v>3593.79</v>
      </c>
    </row>
    <row r="161" spans="1:2" x14ac:dyDescent="0.2">
      <c r="A161" s="272">
        <v>1620020473</v>
      </c>
      <c r="B161" s="485">
        <v>798.62</v>
      </c>
    </row>
    <row r="162" spans="1:2" x14ac:dyDescent="0.2">
      <c r="A162" s="272">
        <v>1620020474</v>
      </c>
      <c r="B162" s="485">
        <v>1996.55</v>
      </c>
    </row>
    <row r="163" spans="1:2" x14ac:dyDescent="0.2">
      <c r="A163" s="272">
        <v>1620020475</v>
      </c>
      <c r="B163" s="485">
        <v>0</v>
      </c>
    </row>
    <row r="164" spans="1:2" x14ac:dyDescent="0.2">
      <c r="A164" s="272">
        <v>1620020478</v>
      </c>
      <c r="B164" s="485">
        <v>0</v>
      </c>
    </row>
    <row r="165" spans="1:2" x14ac:dyDescent="0.2">
      <c r="A165" s="272">
        <v>1620020479</v>
      </c>
      <c r="B165" s="485">
        <v>7986.2</v>
      </c>
    </row>
    <row r="166" spans="1:2" x14ac:dyDescent="0.2">
      <c r="A166" s="272">
        <v>1620020480</v>
      </c>
      <c r="B166" s="485">
        <v>798.62</v>
      </c>
    </row>
    <row r="167" spans="1:2" x14ac:dyDescent="0.2">
      <c r="A167" s="272">
        <v>1620020481</v>
      </c>
      <c r="B167" s="485">
        <v>0</v>
      </c>
    </row>
    <row r="168" spans="1:2" x14ac:dyDescent="0.2">
      <c r="A168" s="272">
        <v>1620020482</v>
      </c>
      <c r="B168" s="485">
        <v>0</v>
      </c>
    </row>
    <row r="169" spans="1:2" x14ac:dyDescent="0.2">
      <c r="A169" s="272">
        <v>1620020483</v>
      </c>
      <c r="B169" s="485">
        <v>6289.13</v>
      </c>
    </row>
    <row r="170" spans="1:2" x14ac:dyDescent="0.2">
      <c r="A170" s="272">
        <v>1620020485</v>
      </c>
      <c r="B170" s="485">
        <v>3593.79</v>
      </c>
    </row>
    <row r="171" spans="1:2" x14ac:dyDescent="0.2">
      <c r="A171" s="272">
        <v>1620020486</v>
      </c>
      <c r="B171" s="485">
        <v>0</v>
      </c>
    </row>
    <row r="172" spans="1:2" x14ac:dyDescent="0.2">
      <c r="A172" s="272">
        <v>1620020487</v>
      </c>
      <c r="B172" s="485">
        <v>499.14</v>
      </c>
    </row>
    <row r="173" spans="1:2" x14ac:dyDescent="0.2">
      <c r="A173" s="272">
        <v>1620020488</v>
      </c>
      <c r="B173" s="485">
        <v>0</v>
      </c>
    </row>
    <row r="174" spans="1:2" x14ac:dyDescent="0.2">
      <c r="A174" s="272">
        <v>1620020489</v>
      </c>
      <c r="B174" s="485">
        <v>0</v>
      </c>
    </row>
    <row r="175" spans="1:2" x14ac:dyDescent="0.2">
      <c r="A175" s="272">
        <v>1620020490</v>
      </c>
      <c r="B175" s="485">
        <v>798.62</v>
      </c>
    </row>
    <row r="176" spans="1:2" x14ac:dyDescent="0.2">
      <c r="A176" s="272">
        <v>1620020491</v>
      </c>
      <c r="B176" s="485">
        <v>5390.69</v>
      </c>
    </row>
    <row r="177" spans="1:2" x14ac:dyDescent="0.2">
      <c r="A177" s="272">
        <v>1620020492</v>
      </c>
      <c r="B177" s="485">
        <v>0</v>
      </c>
    </row>
    <row r="178" spans="1:2" x14ac:dyDescent="0.2">
      <c r="A178" s="272">
        <v>1620020493</v>
      </c>
      <c r="B178" s="485">
        <v>27153.08</v>
      </c>
    </row>
    <row r="179" spans="1:2" x14ac:dyDescent="0.2">
      <c r="A179" s="272">
        <v>1620020494</v>
      </c>
      <c r="B179" s="485">
        <v>898.45</v>
      </c>
    </row>
    <row r="180" spans="1:2" x14ac:dyDescent="0.2">
      <c r="A180" s="272">
        <v>1620020495</v>
      </c>
      <c r="B180" s="485">
        <v>0</v>
      </c>
    </row>
    <row r="181" spans="1:2" x14ac:dyDescent="0.2">
      <c r="A181" s="272">
        <v>1620020496</v>
      </c>
      <c r="B181" s="485">
        <v>3993.1</v>
      </c>
    </row>
    <row r="182" spans="1:2" x14ac:dyDescent="0.2">
      <c r="A182" s="272">
        <v>1620020497</v>
      </c>
      <c r="B182" s="485">
        <v>1787.45</v>
      </c>
    </row>
    <row r="183" spans="1:2" x14ac:dyDescent="0.2">
      <c r="A183" s="272">
        <v>1620020498</v>
      </c>
      <c r="B183" s="485">
        <v>3593.79</v>
      </c>
    </row>
    <row r="184" spans="1:2" x14ac:dyDescent="0.2">
      <c r="A184" s="272">
        <v>1620020499</v>
      </c>
      <c r="B184" s="485">
        <v>0</v>
      </c>
    </row>
    <row r="185" spans="1:2" x14ac:dyDescent="0.2">
      <c r="A185" s="272">
        <v>1620020500</v>
      </c>
      <c r="B185" s="485">
        <v>0</v>
      </c>
    </row>
    <row r="186" spans="1:2" x14ac:dyDescent="0.2">
      <c r="A186" s="272">
        <v>1620020501</v>
      </c>
      <c r="B186" s="485">
        <v>0</v>
      </c>
    </row>
    <row r="187" spans="1:2" x14ac:dyDescent="0.2">
      <c r="A187" s="272">
        <v>1620020502</v>
      </c>
      <c r="B187" s="485">
        <v>0</v>
      </c>
    </row>
    <row r="188" spans="1:2" x14ac:dyDescent="0.2">
      <c r="A188" s="272">
        <v>1620020503</v>
      </c>
      <c r="B188" s="485">
        <v>16771.02</v>
      </c>
    </row>
    <row r="189" spans="1:2" x14ac:dyDescent="0.2">
      <c r="A189" s="272">
        <v>1620020504</v>
      </c>
      <c r="B189" s="485">
        <v>46819.1</v>
      </c>
    </row>
    <row r="190" spans="1:2" x14ac:dyDescent="0.2">
      <c r="A190" s="272">
        <v>1620020505</v>
      </c>
      <c r="B190" s="485">
        <v>0</v>
      </c>
    </row>
    <row r="191" spans="1:2" x14ac:dyDescent="0.2">
      <c r="A191" s="272">
        <v>1620020506</v>
      </c>
      <c r="B191" s="485">
        <v>0</v>
      </c>
    </row>
    <row r="192" spans="1:2" x14ac:dyDescent="0.2">
      <c r="A192" s="272">
        <v>1620020507</v>
      </c>
      <c r="B192" s="485">
        <v>0</v>
      </c>
    </row>
    <row r="193" spans="1:2" x14ac:dyDescent="0.2">
      <c r="A193" s="272">
        <v>1620020508</v>
      </c>
      <c r="B193" s="485">
        <v>0</v>
      </c>
    </row>
    <row r="194" spans="1:2" x14ac:dyDescent="0.2">
      <c r="A194" s="272">
        <v>1620020510</v>
      </c>
      <c r="B194" s="485">
        <v>5958.15</v>
      </c>
    </row>
    <row r="195" spans="1:2" x14ac:dyDescent="0.2">
      <c r="A195" s="272">
        <v>1620020511</v>
      </c>
      <c r="B195" s="485">
        <v>4691.8900000000003</v>
      </c>
    </row>
    <row r="196" spans="1:2" x14ac:dyDescent="0.2">
      <c r="A196" s="272">
        <v>1620020512</v>
      </c>
      <c r="B196" s="485">
        <v>0</v>
      </c>
    </row>
    <row r="197" spans="1:2" x14ac:dyDescent="0.2">
      <c r="A197" s="272">
        <v>1620021034</v>
      </c>
      <c r="B197" s="485">
        <v>0</v>
      </c>
    </row>
    <row r="198" spans="1:2" x14ac:dyDescent="0.2">
      <c r="A198" s="272">
        <v>1620021035</v>
      </c>
      <c r="B198" s="485">
        <v>0</v>
      </c>
    </row>
    <row r="199" spans="1:2" x14ac:dyDescent="0.2">
      <c r="A199" s="272">
        <v>1620021050</v>
      </c>
      <c r="B199" s="485">
        <v>0</v>
      </c>
    </row>
    <row r="200" spans="1:2" x14ac:dyDescent="0.2">
      <c r="A200" s="272">
        <v>1620021101</v>
      </c>
      <c r="B200" s="485">
        <v>0</v>
      </c>
    </row>
    <row r="201" spans="1:2" x14ac:dyDescent="0.2">
      <c r="A201" s="272">
        <v>1620021221</v>
      </c>
      <c r="B201" s="485">
        <v>0</v>
      </c>
    </row>
    <row r="202" spans="1:2" x14ac:dyDescent="0.2">
      <c r="A202" s="272">
        <v>1620021372</v>
      </c>
      <c r="B202" s="485">
        <v>0</v>
      </c>
    </row>
    <row r="203" spans="1:2" x14ac:dyDescent="0.2">
      <c r="A203" s="272">
        <v>1620021386</v>
      </c>
      <c r="B203" s="485">
        <v>0</v>
      </c>
    </row>
    <row r="204" spans="1:2" x14ac:dyDescent="0.2">
      <c r="A204" s="272">
        <v>1620021405</v>
      </c>
      <c r="B204" s="485">
        <v>0</v>
      </c>
    </row>
    <row r="205" spans="1:2" x14ac:dyDescent="0.2">
      <c r="A205" s="272">
        <v>1620021426</v>
      </c>
      <c r="B205" s="485">
        <v>0</v>
      </c>
    </row>
    <row r="206" spans="1:2" x14ac:dyDescent="0.2">
      <c r="A206" s="272">
        <v>1620021446</v>
      </c>
      <c r="B206" s="485">
        <v>71276.84</v>
      </c>
    </row>
    <row r="207" spans="1:2" x14ac:dyDescent="0.2">
      <c r="A207" s="272">
        <v>1620021459</v>
      </c>
      <c r="B207" s="485">
        <v>0</v>
      </c>
    </row>
    <row r="208" spans="1:2" x14ac:dyDescent="0.2">
      <c r="A208" s="272">
        <v>1620021467</v>
      </c>
      <c r="B208" s="485">
        <v>0</v>
      </c>
    </row>
    <row r="209" spans="1:2" x14ac:dyDescent="0.2">
      <c r="A209" s="272">
        <v>1620021474</v>
      </c>
      <c r="B209" s="485">
        <v>1397.59</v>
      </c>
    </row>
    <row r="210" spans="1:2" x14ac:dyDescent="0.2">
      <c r="A210" s="272">
        <v>1620021477</v>
      </c>
      <c r="B210" s="485">
        <v>0</v>
      </c>
    </row>
    <row r="211" spans="1:2" x14ac:dyDescent="0.2">
      <c r="A211" s="272">
        <v>1620021478</v>
      </c>
      <c r="B211" s="485">
        <v>0</v>
      </c>
    </row>
    <row r="212" spans="1:2" x14ac:dyDescent="0.2">
      <c r="A212" s="272">
        <v>1620021479</v>
      </c>
      <c r="B212" s="485">
        <v>0</v>
      </c>
    </row>
    <row r="213" spans="1:2" x14ac:dyDescent="0.2">
      <c r="A213" s="272">
        <v>1620021480</v>
      </c>
      <c r="B213" s="485">
        <v>0</v>
      </c>
    </row>
    <row r="214" spans="1:2" x14ac:dyDescent="0.2">
      <c r="A214" s="272">
        <v>1620021481</v>
      </c>
      <c r="B214" s="485">
        <v>0</v>
      </c>
    </row>
    <row r="215" spans="1:2" x14ac:dyDescent="0.2">
      <c r="A215" s="272">
        <v>1620021482</v>
      </c>
      <c r="B215" s="485">
        <v>0</v>
      </c>
    </row>
    <row r="216" spans="1:2" x14ac:dyDescent="0.2">
      <c r="A216" s="272">
        <v>1620021483</v>
      </c>
      <c r="B216" s="485">
        <v>0</v>
      </c>
    </row>
    <row r="217" spans="1:2" x14ac:dyDescent="0.2">
      <c r="A217" s="272">
        <v>1620021484</v>
      </c>
      <c r="B217" s="485">
        <v>0</v>
      </c>
    </row>
    <row r="218" spans="1:2" x14ac:dyDescent="0.2">
      <c r="A218" s="272">
        <v>1620022001</v>
      </c>
      <c r="B218" s="485">
        <v>103421.29</v>
      </c>
    </row>
    <row r="219" spans="1:2" x14ac:dyDescent="0.2">
      <c r="A219" s="272">
        <v>1620022004</v>
      </c>
      <c r="B219" s="485">
        <v>5989.65</v>
      </c>
    </row>
    <row r="220" spans="1:2" x14ac:dyDescent="0.2">
      <c r="A220" s="272">
        <v>1620022048</v>
      </c>
      <c r="B220" s="485">
        <v>11579.99</v>
      </c>
    </row>
    <row r="221" spans="1:2" x14ac:dyDescent="0.2">
      <c r="A221" s="272">
        <v>1620022061</v>
      </c>
      <c r="B221" s="485">
        <v>0</v>
      </c>
    </row>
    <row r="222" spans="1:2" x14ac:dyDescent="0.2">
      <c r="A222" s="272">
        <v>1620022065</v>
      </c>
      <c r="B222" s="485">
        <v>5590.34</v>
      </c>
    </row>
    <row r="223" spans="1:2" x14ac:dyDescent="0.2">
      <c r="A223" s="272">
        <v>1620022075</v>
      </c>
      <c r="B223" s="485">
        <v>14375.16</v>
      </c>
    </row>
    <row r="224" spans="1:2" x14ac:dyDescent="0.2">
      <c r="A224" s="272">
        <v>1620022076</v>
      </c>
      <c r="B224" s="485">
        <v>0</v>
      </c>
    </row>
    <row r="225" spans="1:2" x14ac:dyDescent="0.2">
      <c r="A225" s="272">
        <v>1620022081</v>
      </c>
      <c r="B225" s="485">
        <v>10981.03</v>
      </c>
    </row>
    <row r="226" spans="1:2" x14ac:dyDescent="0.2">
      <c r="A226" s="272">
        <v>1620022083</v>
      </c>
      <c r="B226" s="485">
        <v>7586.89</v>
      </c>
    </row>
    <row r="227" spans="1:2" x14ac:dyDescent="0.2">
      <c r="A227" s="272">
        <v>1620022090</v>
      </c>
      <c r="B227" s="485">
        <v>190570.7</v>
      </c>
    </row>
    <row r="228" spans="1:2" x14ac:dyDescent="0.2">
      <c r="A228" s="272">
        <v>1620022095</v>
      </c>
      <c r="B228" s="485">
        <v>68980.800000000003</v>
      </c>
    </row>
    <row r="229" spans="1:2" x14ac:dyDescent="0.2">
      <c r="A229" s="272">
        <v>1620022100</v>
      </c>
      <c r="B229" s="485">
        <v>2994.83</v>
      </c>
    </row>
    <row r="230" spans="1:2" x14ac:dyDescent="0.2">
      <c r="A230" s="272">
        <v>1620022108</v>
      </c>
      <c r="B230" s="485">
        <v>8984.48</v>
      </c>
    </row>
    <row r="231" spans="1:2" x14ac:dyDescent="0.2">
      <c r="A231" s="272">
        <v>1620022116</v>
      </c>
      <c r="B231" s="485">
        <v>0</v>
      </c>
    </row>
    <row r="232" spans="1:2" x14ac:dyDescent="0.2">
      <c r="A232" s="272">
        <v>1620022118</v>
      </c>
      <c r="B232" s="485">
        <v>3194.48</v>
      </c>
    </row>
    <row r="233" spans="1:2" x14ac:dyDescent="0.2">
      <c r="A233" s="272">
        <v>1620022129</v>
      </c>
      <c r="B233" s="485">
        <v>188973.46</v>
      </c>
    </row>
    <row r="234" spans="1:2" x14ac:dyDescent="0.2">
      <c r="A234" s="272">
        <v>1620022132</v>
      </c>
      <c r="B234" s="485">
        <v>76860.14</v>
      </c>
    </row>
    <row r="235" spans="1:2" x14ac:dyDescent="0.2">
      <c r="A235" s="272">
        <v>1620022170</v>
      </c>
      <c r="B235" s="485">
        <v>1297.76</v>
      </c>
    </row>
    <row r="236" spans="1:2" x14ac:dyDescent="0.2">
      <c r="A236" s="272">
        <v>1620022173</v>
      </c>
      <c r="B236" s="485">
        <v>344026.53</v>
      </c>
    </row>
    <row r="237" spans="1:2" x14ac:dyDescent="0.2">
      <c r="A237" s="272">
        <v>1620022184</v>
      </c>
      <c r="B237" s="485">
        <v>499.14</v>
      </c>
    </row>
    <row r="238" spans="1:2" x14ac:dyDescent="0.2">
      <c r="A238" s="272">
        <v>1620022189</v>
      </c>
      <c r="B238" s="485">
        <v>0</v>
      </c>
    </row>
    <row r="239" spans="1:2" x14ac:dyDescent="0.2">
      <c r="A239" s="272">
        <v>1620022202</v>
      </c>
      <c r="B239" s="485">
        <v>91042.68</v>
      </c>
    </row>
    <row r="240" spans="1:2" x14ac:dyDescent="0.2">
      <c r="A240" s="272">
        <v>1620022225</v>
      </c>
      <c r="B240" s="485">
        <v>798.62</v>
      </c>
    </row>
    <row r="241" spans="1:2" x14ac:dyDescent="0.2">
      <c r="A241" s="272">
        <v>1620022319</v>
      </c>
      <c r="B241" s="485">
        <v>0</v>
      </c>
    </row>
    <row r="242" spans="1:2" x14ac:dyDescent="0.2">
      <c r="A242" s="272">
        <v>1620022322</v>
      </c>
      <c r="B242" s="485">
        <v>21662.57</v>
      </c>
    </row>
    <row r="243" spans="1:2" x14ac:dyDescent="0.2">
      <c r="A243" s="272">
        <v>1620022325</v>
      </c>
      <c r="B243" s="485">
        <v>20952.830000000002</v>
      </c>
    </row>
    <row r="244" spans="1:2" x14ac:dyDescent="0.2">
      <c r="A244" s="272">
        <v>1620022340</v>
      </c>
      <c r="B244" s="485">
        <v>3194.48</v>
      </c>
    </row>
    <row r="245" spans="1:2" x14ac:dyDescent="0.2">
      <c r="A245" s="272">
        <v>1620022343</v>
      </c>
      <c r="B245" s="485">
        <v>0</v>
      </c>
    </row>
    <row r="246" spans="1:2" x14ac:dyDescent="0.2">
      <c r="A246" s="272">
        <v>1620022361</v>
      </c>
      <c r="B246" s="485">
        <v>5889.82</v>
      </c>
    </row>
    <row r="247" spans="1:2" x14ac:dyDescent="0.2">
      <c r="A247" s="272">
        <v>1620022373</v>
      </c>
      <c r="B247" s="485">
        <v>20564.47</v>
      </c>
    </row>
    <row r="248" spans="1:2" x14ac:dyDescent="0.2">
      <c r="A248" s="272">
        <v>1620022389</v>
      </c>
      <c r="B248" s="485">
        <v>12678.09</v>
      </c>
    </row>
    <row r="249" spans="1:2" x14ac:dyDescent="0.2">
      <c r="A249" s="272">
        <v>1620022393</v>
      </c>
      <c r="B249" s="485">
        <v>41528.239999999998</v>
      </c>
    </row>
    <row r="250" spans="1:2" x14ac:dyDescent="0.2">
      <c r="A250" s="272">
        <v>1620022400</v>
      </c>
      <c r="B250" s="485">
        <v>173200.71</v>
      </c>
    </row>
    <row r="251" spans="1:2" x14ac:dyDescent="0.2">
      <c r="A251" s="272">
        <v>1620022410</v>
      </c>
      <c r="B251" s="485">
        <v>3194.48</v>
      </c>
    </row>
    <row r="252" spans="1:2" x14ac:dyDescent="0.2">
      <c r="A252" s="272">
        <v>1620022430</v>
      </c>
      <c r="B252" s="485">
        <v>0</v>
      </c>
    </row>
    <row r="253" spans="1:2" x14ac:dyDescent="0.2">
      <c r="A253" s="272">
        <v>1620022434</v>
      </c>
      <c r="B253" s="485">
        <v>0</v>
      </c>
    </row>
    <row r="254" spans="1:2" x14ac:dyDescent="0.2">
      <c r="A254" s="272">
        <v>1620022441</v>
      </c>
      <c r="B254" s="485">
        <v>0</v>
      </c>
    </row>
    <row r="255" spans="1:2" x14ac:dyDescent="0.2">
      <c r="A255" s="272">
        <v>1620023041</v>
      </c>
      <c r="B255" s="485">
        <v>0</v>
      </c>
    </row>
    <row r="256" spans="1:2" x14ac:dyDescent="0.2">
      <c r="A256" s="272">
        <v>1620023053</v>
      </c>
      <c r="B256" s="485">
        <v>104719.05</v>
      </c>
    </row>
    <row r="257" spans="1:2" x14ac:dyDescent="0.2">
      <c r="A257" s="272">
        <v>1620023059</v>
      </c>
      <c r="B257" s="485">
        <v>69809.66</v>
      </c>
    </row>
    <row r="258" spans="1:2" x14ac:dyDescent="0.2">
      <c r="A258" s="272">
        <v>1620023104</v>
      </c>
      <c r="B258" s="485">
        <v>0</v>
      </c>
    </row>
    <row r="259" spans="1:2" x14ac:dyDescent="0.2">
      <c r="A259" s="272">
        <v>1620023120</v>
      </c>
      <c r="B259" s="485">
        <v>8485.34</v>
      </c>
    </row>
    <row r="260" spans="1:2" x14ac:dyDescent="0.2">
      <c r="A260" s="272">
        <v>1620023124</v>
      </c>
      <c r="B260" s="485">
        <v>114402.32</v>
      </c>
    </row>
    <row r="261" spans="1:2" x14ac:dyDescent="0.2">
      <c r="A261" s="272">
        <v>1620023133</v>
      </c>
      <c r="B261" s="485">
        <v>76760.83</v>
      </c>
    </row>
    <row r="262" spans="1:2" x14ac:dyDescent="0.2">
      <c r="A262" s="272">
        <v>1620023157</v>
      </c>
      <c r="B262" s="485">
        <v>183083.64</v>
      </c>
    </row>
    <row r="263" spans="1:2" x14ac:dyDescent="0.2">
      <c r="A263" s="272">
        <v>1620023186</v>
      </c>
      <c r="B263" s="485">
        <v>328831.78999999998</v>
      </c>
    </row>
    <row r="264" spans="1:2" x14ac:dyDescent="0.2">
      <c r="A264" s="272">
        <v>1620023215</v>
      </c>
      <c r="B264" s="485">
        <v>76268.210000000006</v>
      </c>
    </row>
    <row r="265" spans="1:2" x14ac:dyDescent="0.2">
      <c r="A265" s="272">
        <v>1620023275</v>
      </c>
      <c r="B265" s="485">
        <v>69908.960000000006</v>
      </c>
    </row>
    <row r="266" spans="1:2" x14ac:dyDescent="0.2">
      <c r="A266" s="272">
        <v>1620023282</v>
      </c>
      <c r="B266" s="485">
        <v>253162.54</v>
      </c>
    </row>
    <row r="267" spans="1:2" x14ac:dyDescent="0.2">
      <c r="A267" s="272">
        <v>1620023285</v>
      </c>
      <c r="B267" s="485">
        <v>145348.84</v>
      </c>
    </row>
    <row r="268" spans="1:2" x14ac:dyDescent="0.2">
      <c r="A268" s="272">
        <v>1620023290</v>
      </c>
      <c r="B268" s="485">
        <v>292294.92</v>
      </c>
    </row>
    <row r="269" spans="1:2" x14ac:dyDescent="0.2">
      <c r="A269" s="272">
        <v>1620023292</v>
      </c>
      <c r="B269" s="485">
        <v>215527.57</v>
      </c>
    </row>
    <row r="270" spans="1:2" x14ac:dyDescent="0.2">
      <c r="A270" s="272">
        <v>1620023294</v>
      </c>
      <c r="B270" s="485">
        <v>343306.77</v>
      </c>
    </row>
    <row r="271" spans="1:2" x14ac:dyDescent="0.2">
      <c r="A271" s="272">
        <v>1620023295</v>
      </c>
      <c r="B271" s="485">
        <v>162269.6</v>
      </c>
    </row>
    <row r="272" spans="1:2" x14ac:dyDescent="0.2">
      <c r="A272" s="272">
        <v>1620023298</v>
      </c>
      <c r="B272" s="485">
        <v>185080.19</v>
      </c>
    </row>
    <row r="273" spans="1:2" x14ac:dyDescent="0.2">
      <c r="A273" s="272">
        <v>1620023304</v>
      </c>
      <c r="B273" s="485">
        <v>248370.82</v>
      </c>
    </row>
    <row r="274" spans="1:2" x14ac:dyDescent="0.2">
      <c r="A274" s="272">
        <v>1620023306</v>
      </c>
      <c r="B274" s="485">
        <v>109410.94</v>
      </c>
    </row>
    <row r="275" spans="1:2" x14ac:dyDescent="0.2">
      <c r="A275" s="272">
        <v>1620023307</v>
      </c>
      <c r="B275" s="485">
        <v>333523.68</v>
      </c>
    </row>
    <row r="276" spans="1:2" x14ac:dyDescent="0.2">
      <c r="A276" s="272">
        <v>1620023310</v>
      </c>
      <c r="B276" s="485">
        <v>455188.44</v>
      </c>
    </row>
    <row r="277" spans="1:2" x14ac:dyDescent="0.2">
      <c r="A277" s="272">
        <v>1620023320</v>
      </c>
      <c r="B277" s="485">
        <v>178791.05</v>
      </c>
    </row>
    <row r="278" spans="1:2" x14ac:dyDescent="0.2">
      <c r="A278" s="272">
        <v>1620023321</v>
      </c>
      <c r="B278" s="485">
        <v>173999.33</v>
      </c>
    </row>
    <row r="279" spans="1:2" x14ac:dyDescent="0.2">
      <c r="A279" s="272">
        <v>1620023323</v>
      </c>
      <c r="B279" s="485">
        <v>88846.48</v>
      </c>
    </row>
    <row r="280" spans="1:2" x14ac:dyDescent="0.2">
      <c r="A280" s="272">
        <v>1620023324</v>
      </c>
      <c r="B280" s="485">
        <v>323540.93</v>
      </c>
    </row>
    <row r="281" spans="1:2" x14ac:dyDescent="0.2">
      <c r="A281" s="272">
        <v>1620023326</v>
      </c>
      <c r="B281" s="485">
        <v>207441.55</v>
      </c>
    </row>
    <row r="282" spans="1:2" x14ac:dyDescent="0.2">
      <c r="A282" s="272">
        <v>1620023327</v>
      </c>
      <c r="B282" s="485">
        <v>187781.03</v>
      </c>
    </row>
    <row r="283" spans="1:2" x14ac:dyDescent="0.2">
      <c r="A283" s="272">
        <v>1620023329</v>
      </c>
      <c r="B283" s="485">
        <v>98330.09</v>
      </c>
    </row>
    <row r="284" spans="1:2" x14ac:dyDescent="0.2">
      <c r="A284" s="272">
        <v>1620023330</v>
      </c>
      <c r="B284" s="485">
        <v>336917.81</v>
      </c>
    </row>
    <row r="285" spans="1:2" x14ac:dyDescent="0.2">
      <c r="A285" s="272">
        <v>1620023333</v>
      </c>
      <c r="B285" s="485">
        <v>160023.48000000001</v>
      </c>
    </row>
    <row r="286" spans="1:2" x14ac:dyDescent="0.2">
      <c r="A286" s="272">
        <v>1620023335</v>
      </c>
      <c r="B286" s="485">
        <v>92739.75</v>
      </c>
    </row>
    <row r="287" spans="1:2" x14ac:dyDescent="0.2">
      <c r="A287" s="272">
        <v>1620023337</v>
      </c>
      <c r="B287" s="485">
        <v>287403.37</v>
      </c>
    </row>
    <row r="288" spans="1:2" x14ac:dyDescent="0.2">
      <c r="A288" s="272">
        <v>1620023338</v>
      </c>
      <c r="B288" s="485">
        <v>243778.76</v>
      </c>
    </row>
    <row r="289" spans="1:2" x14ac:dyDescent="0.2">
      <c r="A289" s="272">
        <v>1620023342</v>
      </c>
      <c r="B289" s="485">
        <v>93139.06</v>
      </c>
    </row>
    <row r="290" spans="1:2" x14ac:dyDescent="0.2">
      <c r="A290" s="272">
        <v>1620023345</v>
      </c>
      <c r="B290" s="485">
        <v>95135.61</v>
      </c>
    </row>
    <row r="291" spans="1:2" x14ac:dyDescent="0.2">
      <c r="A291" s="272">
        <v>1620023346</v>
      </c>
      <c r="B291" s="485">
        <v>285307</v>
      </c>
    </row>
    <row r="292" spans="1:2" x14ac:dyDescent="0.2">
      <c r="A292" s="272">
        <v>1620023347</v>
      </c>
      <c r="B292" s="485">
        <v>74770.8</v>
      </c>
    </row>
    <row r="293" spans="1:2" x14ac:dyDescent="0.2">
      <c r="A293" s="272">
        <v>1620023351</v>
      </c>
      <c r="B293" s="485">
        <v>122089.03</v>
      </c>
    </row>
    <row r="294" spans="1:2" x14ac:dyDescent="0.2">
      <c r="A294" s="272">
        <v>1620023352</v>
      </c>
      <c r="B294" s="485">
        <v>108412.67</v>
      </c>
    </row>
    <row r="295" spans="1:2" x14ac:dyDescent="0.2">
      <c r="A295" s="272">
        <v>1620023353</v>
      </c>
      <c r="B295" s="485">
        <v>117771.49</v>
      </c>
    </row>
    <row r="296" spans="1:2" x14ac:dyDescent="0.2">
      <c r="A296" s="272">
        <v>1620023354</v>
      </c>
      <c r="B296" s="485">
        <v>139758.5</v>
      </c>
    </row>
    <row r="297" spans="1:2" x14ac:dyDescent="0.2">
      <c r="A297" s="272">
        <v>1620023355</v>
      </c>
      <c r="B297" s="485">
        <v>391723.11</v>
      </c>
    </row>
    <row r="298" spans="1:2" x14ac:dyDescent="0.2">
      <c r="A298" s="272">
        <v>1620023362</v>
      </c>
      <c r="B298" s="485">
        <v>292095.27</v>
      </c>
    </row>
    <row r="299" spans="1:2" x14ac:dyDescent="0.2">
      <c r="A299" s="272">
        <v>1620023368</v>
      </c>
      <c r="B299" s="485">
        <v>273727.01</v>
      </c>
    </row>
    <row r="300" spans="1:2" x14ac:dyDescent="0.2">
      <c r="A300" s="272">
        <v>1620023370</v>
      </c>
      <c r="B300" s="485">
        <v>462001.67</v>
      </c>
    </row>
    <row r="301" spans="1:2" x14ac:dyDescent="0.2">
      <c r="A301" s="272">
        <v>1620023376</v>
      </c>
      <c r="B301" s="485">
        <v>437344.28</v>
      </c>
    </row>
    <row r="302" spans="1:2" x14ac:dyDescent="0.2">
      <c r="A302" s="272">
        <v>1620023377</v>
      </c>
      <c r="B302" s="485">
        <v>96034.06</v>
      </c>
    </row>
    <row r="303" spans="1:2" x14ac:dyDescent="0.2">
      <c r="A303" s="272">
        <v>1620023382</v>
      </c>
      <c r="B303" s="485">
        <v>95135.61</v>
      </c>
    </row>
    <row r="304" spans="1:2" x14ac:dyDescent="0.2">
      <c r="A304" s="272">
        <v>1620023383</v>
      </c>
      <c r="B304" s="485">
        <v>111906.63</v>
      </c>
    </row>
    <row r="305" spans="1:2" x14ac:dyDescent="0.2">
      <c r="A305" s="272">
        <v>1620023388</v>
      </c>
      <c r="B305" s="485">
        <v>117796.45</v>
      </c>
    </row>
    <row r="306" spans="1:2" x14ac:dyDescent="0.2">
      <c r="A306" s="272">
        <v>1620023399</v>
      </c>
      <c r="B306" s="485">
        <v>118595.07</v>
      </c>
    </row>
    <row r="307" spans="1:2" x14ac:dyDescent="0.2">
      <c r="A307" s="272">
        <v>1620023401</v>
      </c>
      <c r="B307" s="485">
        <v>101824.05</v>
      </c>
    </row>
    <row r="308" spans="1:2" x14ac:dyDescent="0.2">
      <c r="A308" s="272">
        <v>1620023402</v>
      </c>
      <c r="B308" s="485">
        <v>362872.96</v>
      </c>
    </row>
    <row r="309" spans="1:2" x14ac:dyDescent="0.2">
      <c r="A309" s="272">
        <v>1620023403</v>
      </c>
      <c r="B309" s="485">
        <v>215327.92</v>
      </c>
    </row>
    <row r="310" spans="1:2" x14ac:dyDescent="0.2">
      <c r="A310" s="272">
        <v>1620023404</v>
      </c>
      <c r="B310" s="485">
        <v>333024.53999999998</v>
      </c>
    </row>
    <row r="311" spans="1:2" x14ac:dyDescent="0.2">
      <c r="A311" s="272">
        <v>1620023410</v>
      </c>
      <c r="B311" s="485">
        <v>166112.95999999999</v>
      </c>
    </row>
    <row r="312" spans="1:2" x14ac:dyDescent="0.2">
      <c r="A312" s="272">
        <v>1620023415</v>
      </c>
      <c r="B312" s="485">
        <v>226109.29</v>
      </c>
    </row>
    <row r="313" spans="1:2" x14ac:dyDescent="0.2">
      <c r="A313" s="272">
        <v>1620023420</v>
      </c>
      <c r="B313" s="485">
        <v>131173.34</v>
      </c>
    </row>
    <row r="314" spans="1:2" x14ac:dyDescent="0.2">
      <c r="A314" s="272">
        <v>1620023421</v>
      </c>
      <c r="B314" s="485">
        <v>318449.73</v>
      </c>
    </row>
    <row r="315" spans="1:2" x14ac:dyDescent="0.2">
      <c r="A315" s="272">
        <v>1620023422</v>
      </c>
      <c r="B315" s="485">
        <v>230401.87</v>
      </c>
    </row>
    <row r="316" spans="1:2" x14ac:dyDescent="0.2">
      <c r="A316" s="272">
        <v>1620023423</v>
      </c>
      <c r="B316" s="485">
        <v>214504.34</v>
      </c>
    </row>
    <row r="317" spans="1:2" x14ac:dyDescent="0.2">
      <c r="A317" s="272">
        <v>1620023425</v>
      </c>
      <c r="B317" s="485">
        <v>74072.009999999995</v>
      </c>
    </row>
    <row r="318" spans="1:2" x14ac:dyDescent="0.2">
      <c r="A318" s="272">
        <v>1620023428</v>
      </c>
      <c r="B318" s="485">
        <v>121744.87</v>
      </c>
    </row>
    <row r="319" spans="1:2" x14ac:dyDescent="0.2">
      <c r="A319" s="272">
        <v>1620023429</v>
      </c>
      <c r="B319" s="485">
        <v>230501.7</v>
      </c>
    </row>
    <row r="320" spans="1:2" x14ac:dyDescent="0.2">
      <c r="A320" s="272">
        <v>1620023435</v>
      </c>
      <c r="B320" s="485">
        <v>209238.44</v>
      </c>
    </row>
    <row r="321" spans="1:2" x14ac:dyDescent="0.2">
      <c r="A321" s="272">
        <v>1620023437</v>
      </c>
      <c r="B321" s="485">
        <v>218222.92</v>
      </c>
    </row>
    <row r="322" spans="1:2" x14ac:dyDescent="0.2">
      <c r="A322" s="272">
        <v>1620023438</v>
      </c>
      <c r="B322" s="485">
        <v>112006.46</v>
      </c>
    </row>
    <row r="323" spans="1:2" x14ac:dyDescent="0.2">
      <c r="A323" s="272">
        <v>1620023440</v>
      </c>
      <c r="B323" s="485">
        <v>239286.52</v>
      </c>
    </row>
    <row r="324" spans="1:2" x14ac:dyDescent="0.2">
      <c r="A324" s="272">
        <v>1620023443</v>
      </c>
      <c r="B324" s="485">
        <v>168908.13</v>
      </c>
    </row>
    <row r="325" spans="1:2" x14ac:dyDescent="0.2">
      <c r="A325" s="272">
        <v>1620023444</v>
      </c>
      <c r="B325" s="485">
        <v>261647.88</v>
      </c>
    </row>
    <row r="326" spans="1:2" x14ac:dyDescent="0.2">
      <c r="A326" s="272">
        <v>1620023446</v>
      </c>
      <c r="B326" s="485">
        <v>2695.34</v>
      </c>
    </row>
    <row r="327" spans="1:2" x14ac:dyDescent="0.2">
      <c r="A327" s="272">
        <v>1620023450</v>
      </c>
      <c r="B327" s="485">
        <v>120672.4</v>
      </c>
    </row>
    <row r="328" spans="1:2" x14ac:dyDescent="0.2">
      <c r="A328" s="272">
        <v>1620023452</v>
      </c>
      <c r="B328" s="485">
        <v>239885.48</v>
      </c>
    </row>
    <row r="329" spans="1:2" x14ac:dyDescent="0.2">
      <c r="A329" s="272">
        <v>1620023453</v>
      </c>
      <c r="B329" s="485">
        <v>233596.35</v>
      </c>
    </row>
    <row r="330" spans="1:2" x14ac:dyDescent="0.2">
      <c r="A330" s="272">
        <v>1620023454</v>
      </c>
      <c r="B330" s="485">
        <v>341210.4</v>
      </c>
    </row>
    <row r="331" spans="1:2" x14ac:dyDescent="0.2">
      <c r="A331" s="272">
        <v>1620023457</v>
      </c>
      <c r="B331" s="485">
        <v>60495.47</v>
      </c>
    </row>
    <row r="332" spans="1:2" x14ac:dyDescent="0.2">
      <c r="A332" s="272">
        <v>1620023458</v>
      </c>
      <c r="B332" s="485">
        <v>149341.94</v>
      </c>
    </row>
    <row r="333" spans="1:2" x14ac:dyDescent="0.2">
      <c r="A333" s="272">
        <v>1620025000</v>
      </c>
      <c r="B333" s="485">
        <v>201651.55</v>
      </c>
    </row>
    <row r="334" spans="1:2" x14ac:dyDescent="0.2">
      <c r="A334" s="272">
        <v>1620025001</v>
      </c>
      <c r="B334" s="485">
        <v>92040.960000000006</v>
      </c>
    </row>
    <row r="335" spans="1:2" x14ac:dyDescent="0.2">
      <c r="A335" s="272">
        <v>1620025002</v>
      </c>
      <c r="B335" s="485">
        <v>406397.75</v>
      </c>
    </row>
    <row r="336" spans="1:2" x14ac:dyDescent="0.2">
      <c r="A336" s="272">
        <v>1620025003</v>
      </c>
      <c r="B336" s="485">
        <v>214329.64</v>
      </c>
    </row>
    <row r="337" spans="1:2" x14ac:dyDescent="0.2">
      <c r="A337" s="272">
        <v>1620025004</v>
      </c>
      <c r="B337" s="485">
        <v>305072.84000000003</v>
      </c>
    </row>
    <row r="338" spans="1:2" x14ac:dyDescent="0.2">
      <c r="A338" s="272">
        <v>1620025005</v>
      </c>
      <c r="B338" s="485">
        <v>266714.12</v>
      </c>
    </row>
    <row r="339" spans="1:2" x14ac:dyDescent="0.2">
      <c r="A339" s="272">
        <v>1620025006</v>
      </c>
      <c r="B339" s="485">
        <v>189767.08</v>
      </c>
    </row>
    <row r="340" spans="1:2" x14ac:dyDescent="0.2">
      <c r="A340" s="272">
        <v>1620025009</v>
      </c>
      <c r="B340" s="485">
        <v>217224.64</v>
      </c>
    </row>
    <row r="341" spans="1:2" x14ac:dyDescent="0.2">
      <c r="A341" s="272">
        <v>1620025011</v>
      </c>
      <c r="B341" s="485">
        <v>240484.45</v>
      </c>
    </row>
    <row r="342" spans="1:2" x14ac:dyDescent="0.2">
      <c r="A342" s="272">
        <v>1620025012</v>
      </c>
      <c r="B342" s="485">
        <v>342707.81</v>
      </c>
    </row>
    <row r="343" spans="1:2" x14ac:dyDescent="0.2">
      <c r="A343" s="272">
        <v>1620025013</v>
      </c>
      <c r="B343" s="485">
        <v>418177.4</v>
      </c>
    </row>
    <row r="344" spans="1:2" x14ac:dyDescent="0.2">
      <c r="A344" s="272">
        <v>1620025014</v>
      </c>
      <c r="B344" s="485">
        <v>207142.06</v>
      </c>
    </row>
    <row r="345" spans="1:2" x14ac:dyDescent="0.2">
      <c r="A345" s="272">
        <v>1620025015</v>
      </c>
      <c r="B345" s="485">
        <v>204247.07</v>
      </c>
    </row>
    <row r="346" spans="1:2" x14ac:dyDescent="0.2">
      <c r="A346" s="272">
        <v>1620025016</v>
      </c>
      <c r="B346" s="485">
        <v>397313.45</v>
      </c>
    </row>
    <row r="347" spans="1:2" x14ac:dyDescent="0.2">
      <c r="A347" s="272">
        <v>1620025018</v>
      </c>
      <c r="B347" s="485">
        <v>0</v>
      </c>
    </row>
    <row r="348" spans="1:2" x14ac:dyDescent="0.2">
      <c r="A348" s="272">
        <v>1620025019</v>
      </c>
      <c r="B348" s="485">
        <v>215926.88</v>
      </c>
    </row>
    <row r="349" spans="1:2" x14ac:dyDescent="0.2">
      <c r="A349" s="272">
        <v>1620025020</v>
      </c>
      <c r="B349" s="485">
        <v>32968.43</v>
      </c>
    </row>
    <row r="350" spans="1:2" x14ac:dyDescent="0.2">
      <c r="A350" s="272">
        <v>1620025021</v>
      </c>
      <c r="B350" s="485">
        <v>295489.40000000002</v>
      </c>
    </row>
    <row r="351" spans="1:2" x14ac:dyDescent="0.2">
      <c r="A351" s="272">
        <v>1620025022</v>
      </c>
      <c r="B351" s="485">
        <v>350993.49</v>
      </c>
    </row>
    <row r="352" spans="1:2" x14ac:dyDescent="0.2">
      <c r="A352" s="272">
        <v>1620025025</v>
      </c>
      <c r="B352" s="485">
        <v>113502.76</v>
      </c>
    </row>
    <row r="353" spans="1:2" x14ac:dyDescent="0.2">
      <c r="A353" s="272">
        <v>1620025026</v>
      </c>
      <c r="B353" s="485">
        <v>107842.52</v>
      </c>
    </row>
    <row r="354" spans="1:2" x14ac:dyDescent="0.2">
      <c r="A354" s="272">
        <v>1620025030</v>
      </c>
      <c r="B354" s="485">
        <v>430356.35</v>
      </c>
    </row>
    <row r="355" spans="1:2" x14ac:dyDescent="0.2">
      <c r="A355" s="272">
        <v>1620025031</v>
      </c>
      <c r="B355" s="485">
        <v>439939.79</v>
      </c>
    </row>
    <row r="356" spans="1:2" x14ac:dyDescent="0.2">
      <c r="A356" s="272">
        <v>1620025032</v>
      </c>
      <c r="B356" s="485">
        <v>215427.75</v>
      </c>
    </row>
    <row r="357" spans="1:2" x14ac:dyDescent="0.2">
      <c r="A357" s="272">
        <v>1620025033</v>
      </c>
      <c r="B357" s="485">
        <v>435447.56</v>
      </c>
    </row>
    <row r="358" spans="1:2" x14ac:dyDescent="0.2">
      <c r="A358" s="272">
        <v>1620025034</v>
      </c>
      <c r="B358" s="485">
        <v>329031.44</v>
      </c>
    </row>
    <row r="359" spans="1:2" x14ac:dyDescent="0.2">
      <c r="A359" s="272">
        <v>1620025035</v>
      </c>
      <c r="B359" s="485">
        <v>278019.59000000003</v>
      </c>
    </row>
    <row r="360" spans="1:2" x14ac:dyDescent="0.2">
      <c r="A360" s="272">
        <v>1620025036</v>
      </c>
      <c r="B360" s="485">
        <v>276557.46000000002</v>
      </c>
    </row>
    <row r="361" spans="1:2" x14ac:dyDescent="0.2">
      <c r="A361" s="272">
        <v>1620025038</v>
      </c>
      <c r="B361" s="485">
        <v>112609.04</v>
      </c>
    </row>
    <row r="362" spans="1:2" x14ac:dyDescent="0.2">
      <c r="A362" s="272">
        <v>1620025039</v>
      </c>
      <c r="B362" s="485">
        <v>364070.89</v>
      </c>
    </row>
    <row r="363" spans="1:2" x14ac:dyDescent="0.2">
      <c r="A363" s="272">
        <v>1620025040</v>
      </c>
      <c r="B363" s="485">
        <v>237988.76</v>
      </c>
    </row>
    <row r="364" spans="1:2" x14ac:dyDescent="0.2">
      <c r="A364" s="272">
        <v>1620025042</v>
      </c>
      <c r="B364" s="485">
        <v>459905.29</v>
      </c>
    </row>
    <row r="365" spans="1:2" x14ac:dyDescent="0.2">
      <c r="A365" s="272">
        <v>1620025043</v>
      </c>
      <c r="B365" s="485">
        <v>335520.23</v>
      </c>
    </row>
    <row r="366" spans="1:2" x14ac:dyDescent="0.2">
      <c r="A366" s="272">
        <v>1620025044</v>
      </c>
      <c r="B366" s="485">
        <v>390724.84</v>
      </c>
    </row>
    <row r="367" spans="1:2" x14ac:dyDescent="0.2">
      <c r="A367" s="272">
        <v>1620025045</v>
      </c>
      <c r="B367" s="485">
        <v>376449.5</v>
      </c>
    </row>
    <row r="368" spans="1:2" x14ac:dyDescent="0.2">
      <c r="A368" s="272">
        <v>1620025046</v>
      </c>
      <c r="B368" s="485">
        <v>350194.87</v>
      </c>
    </row>
    <row r="369" spans="1:2" x14ac:dyDescent="0.2">
      <c r="A369" s="272">
        <v>1620025047</v>
      </c>
      <c r="B369" s="485">
        <v>0</v>
      </c>
    </row>
    <row r="370" spans="1:2" x14ac:dyDescent="0.2">
      <c r="A370" s="272">
        <v>1620025048</v>
      </c>
      <c r="B370" s="485">
        <v>142952.98000000001</v>
      </c>
    </row>
    <row r="371" spans="1:2" x14ac:dyDescent="0.2">
      <c r="A371" s="272">
        <v>1620025051</v>
      </c>
      <c r="B371" s="485">
        <v>382838.46</v>
      </c>
    </row>
    <row r="372" spans="1:2" x14ac:dyDescent="0.2">
      <c r="A372" s="272">
        <v>1620025052</v>
      </c>
      <c r="B372" s="485">
        <v>189572.42</v>
      </c>
    </row>
    <row r="373" spans="1:2" x14ac:dyDescent="0.2">
      <c r="A373" s="272">
        <v>1620025053</v>
      </c>
      <c r="B373" s="485">
        <v>405998.44</v>
      </c>
    </row>
    <row r="374" spans="1:2" x14ac:dyDescent="0.2">
      <c r="A374" s="272">
        <v>1620025055</v>
      </c>
      <c r="B374" s="485">
        <v>216226.37</v>
      </c>
    </row>
    <row r="375" spans="1:2" x14ac:dyDescent="0.2">
      <c r="A375" s="272">
        <v>1620025056</v>
      </c>
      <c r="B375" s="485">
        <v>110009.91</v>
      </c>
    </row>
    <row r="376" spans="1:2" x14ac:dyDescent="0.2">
      <c r="A376" s="272">
        <v>1620025057</v>
      </c>
      <c r="B376" s="485">
        <v>214030.16</v>
      </c>
    </row>
    <row r="377" spans="1:2" x14ac:dyDescent="0.2">
      <c r="A377" s="272">
        <v>1620025058</v>
      </c>
      <c r="B377" s="485">
        <v>282611.65000000002</v>
      </c>
    </row>
    <row r="378" spans="1:2" x14ac:dyDescent="0.2">
      <c r="A378" s="272">
        <v>1620025059</v>
      </c>
      <c r="B378" s="485">
        <v>292594.40000000002</v>
      </c>
    </row>
    <row r="379" spans="1:2" x14ac:dyDescent="0.2">
      <c r="A379" s="272">
        <v>1620025060</v>
      </c>
      <c r="B379" s="485">
        <v>191993.24</v>
      </c>
    </row>
    <row r="380" spans="1:2" x14ac:dyDescent="0.2">
      <c r="A380" s="272">
        <v>1620025061</v>
      </c>
      <c r="B380" s="485">
        <v>273926.65999999997</v>
      </c>
    </row>
    <row r="381" spans="1:2" x14ac:dyDescent="0.2">
      <c r="A381" s="272">
        <v>1620025062</v>
      </c>
      <c r="B381" s="485">
        <v>279217.52</v>
      </c>
    </row>
    <row r="382" spans="1:2" x14ac:dyDescent="0.2">
      <c r="A382" s="272">
        <v>1620025063</v>
      </c>
      <c r="B382" s="485">
        <v>164915.03</v>
      </c>
    </row>
    <row r="383" spans="1:2" x14ac:dyDescent="0.2">
      <c r="A383" s="272">
        <v>1620025064</v>
      </c>
      <c r="B383" s="485">
        <v>186677.43</v>
      </c>
    </row>
    <row r="384" spans="1:2" x14ac:dyDescent="0.2">
      <c r="A384" s="272">
        <v>1620025067</v>
      </c>
      <c r="B384" s="485">
        <v>275324.25</v>
      </c>
    </row>
    <row r="385" spans="1:2" x14ac:dyDescent="0.2">
      <c r="A385" s="272">
        <v>1620025069</v>
      </c>
      <c r="B385" s="485">
        <v>108512.49</v>
      </c>
    </row>
    <row r="386" spans="1:2" x14ac:dyDescent="0.2">
      <c r="A386" s="272">
        <v>1620025070</v>
      </c>
      <c r="B386" s="485">
        <v>164515.72</v>
      </c>
    </row>
    <row r="387" spans="1:2" x14ac:dyDescent="0.2">
      <c r="A387" s="272">
        <v>1620025071</v>
      </c>
      <c r="B387" s="485">
        <v>346301.6</v>
      </c>
    </row>
    <row r="388" spans="1:2" x14ac:dyDescent="0.2">
      <c r="A388" s="272">
        <v>1620025072</v>
      </c>
      <c r="B388" s="485">
        <v>229203.94</v>
      </c>
    </row>
    <row r="389" spans="1:2" x14ac:dyDescent="0.2">
      <c r="A389" s="272">
        <v>1620025073</v>
      </c>
      <c r="B389" s="485">
        <v>370459.85</v>
      </c>
    </row>
    <row r="390" spans="1:2" x14ac:dyDescent="0.2">
      <c r="A390" s="272">
        <v>1620025074</v>
      </c>
      <c r="B390" s="485">
        <v>367764.51</v>
      </c>
    </row>
    <row r="391" spans="1:2" x14ac:dyDescent="0.2">
      <c r="A391" s="272">
        <v>1620025076</v>
      </c>
      <c r="B391" s="485">
        <v>0</v>
      </c>
    </row>
    <row r="392" spans="1:2" x14ac:dyDescent="0.2">
      <c r="A392" s="272">
        <v>1620025079</v>
      </c>
      <c r="B392" s="485">
        <v>219321.02</v>
      </c>
    </row>
    <row r="393" spans="1:2" x14ac:dyDescent="0.2">
      <c r="A393" s="272">
        <v>1620025081</v>
      </c>
      <c r="B393" s="485">
        <v>184481.22</v>
      </c>
    </row>
    <row r="394" spans="1:2" x14ac:dyDescent="0.2">
      <c r="A394" s="272">
        <v>1620025082</v>
      </c>
      <c r="B394" s="485">
        <v>256597.66</v>
      </c>
    </row>
    <row r="395" spans="1:2" x14ac:dyDescent="0.2">
      <c r="A395" s="272">
        <v>1620025084</v>
      </c>
      <c r="B395" s="485">
        <v>303468.44</v>
      </c>
    </row>
    <row r="396" spans="1:2" x14ac:dyDescent="0.2">
      <c r="A396" s="272">
        <v>1620025085</v>
      </c>
      <c r="B396" s="485">
        <v>224312.39</v>
      </c>
    </row>
    <row r="397" spans="1:2" x14ac:dyDescent="0.2">
      <c r="A397" s="272">
        <v>1620025086</v>
      </c>
      <c r="B397" s="485">
        <v>263644.43</v>
      </c>
    </row>
    <row r="398" spans="1:2" x14ac:dyDescent="0.2">
      <c r="A398" s="272">
        <v>1620025088</v>
      </c>
      <c r="B398" s="485">
        <v>117197.49</v>
      </c>
    </row>
    <row r="399" spans="1:2" x14ac:dyDescent="0.2">
      <c r="A399" s="272">
        <v>1620025089</v>
      </c>
      <c r="B399" s="485">
        <v>326036.62</v>
      </c>
    </row>
    <row r="400" spans="1:2" x14ac:dyDescent="0.2">
      <c r="A400" s="272">
        <v>1620025090</v>
      </c>
      <c r="B400" s="485">
        <v>223813.26</v>
      </c>
    </row>
    <row r="401" spans="1:2" x14ac:dyDescent="0.2">
      <c r="A401" s="272">
        <v>1620025091</v>
      </c>
      <c r="B401" s="485">
        <v>41827.72</v>
      </c>
    </row>
    <row r="402" spans="1:2" x14ac:dyDescent="0.2">
      <c r="A402" s="272">
        <v>1620025092</v>
      </c>
      <c r="B402" s="485">
        <v>200952.76</v>
      </c>
    </row>
    <row r="403" spans="1:2" x14ac:dyDescent="0.2">
      <c r="A403" s="272">
        <v>1620025094</v>
      </c>
      <c r="B403" s="485">
        <v>212432.92</v>
      </c>
    </row>
    <row r="404" spans="1:2" x14ac:dyDescent="0.2">
      <c r="A404" s="272">
        <v>1620025095</v>
      </c>
      <c r="B404" s="485">
        <v>185579.32</v>
      </c>
    </row>
    <row r="405" spans="1:2" x14ac:dyDescent="0.2">
      <c r="A405" s="272">
        <v>1620025096</v>
      </c>
      <c r="B405" s="485">
        <v>246973.24</v>
      </c>
    </row>
    <row r="406" spans="1:2" x14ac:dyDescent="0.2">
      <c r="A406" s="272">
        <v>1620025097</v>
      </c>
      <c r="B406" s="485">
        <v>94736.3</v>
      </c>
    </row>
    <row r="407" spans="1:2" x14ac:dyDescent="0.2">
      <c r="A407" s="272">
        <v>1620025098</v>
      </c>
      <c r="B407" s="485">
        <v>83555.62</v>
      </c>
    </row>
    <row r="408" spans="1:2" x14ac:dyDescent="0.2">
      <c r="A408" s="272">
        <v>1620025099</v>
      </c>
      <c r="B408" s="485">
        <v>105218.19</v>
      </c>
    </row>
    <row r="409" spans="1:2" x14ac:dyDescent="0.2">
      <c r="A409" s="272">
        <v>1620025100</v>
      </c>
      <c r="B409" s="485">
        <v>94736.3</v>
      </c>
    </row>
    <row r="410" spans="1:2" x14ac:dyDescent="0.2">
      <c r="A410" s="272">
        <v>1620025103</v>
      </c>
      <c r="B410" s="485">
        <v>79562.52</v>
      </c>
    </row>
    <row r="411" spans="1:2" x14ac:dyDescent="0.2">
      <c r="A411" s="272">
        <v>1620025104</v>
      </c>
      <c r="B411" s="485">
        <v>0</v>
      </c>
    </row>
    <row r="412" spans="1:2" x14ac:dyDescent="0.2">
      <c r="A412" s="272">
        <v>1620025105</v>
      </c>
      <c r="B412" s="485">
        <v>212832.23</v>
      </c>
    </row>
    <row r="413" spans="1:2" x14ac:dyDescent="0.2">
      <c r="A413" s="272">
        <v>1620025106</v>
      </c>
      <c r="B413" s="485">
        <v>204147.24</v>
      </c>
    </row>
    <row r="414" spans="1:2" x14ac:dyDescent="0.2">
      <c r="A414" s="272">
        <v>1620025107</v>
      </c>
      <c r="B414" s="485">
        <v>169107.79</v>
      </c>
    </row>
    <row r="415" spans="1:2" x14ac:dyDescent="0.2">
      <c r="A415" s="272">
        <v>1620025108</v>
      </c>
      <c r="B415" s="485">
        <v>115400.59</v>
      </c>
    </row>
    <row r="416" spans="1:2" x14ac:dyDescent="0.2">
      <c r="A416" s="272">
        <v>1620025109</v>
      </c>
      <c r="B416" s="485">
        <v>140257.64000000001</v>
      </c>
    </row>
    <row r="417" spans="1:2" x14ac:dyDescent="0.2">
      <c r="A417" s="272">
        <v>1620025111</v>
      </c>
      <c r="B417" s="485">
        <v>199854.66</v>
      </c>
    </row>
    <row r="418" spans="1:2" x14ac:dyDescent="0.2">
      <c r="A418" s="272">
        <v>1620025113</v>
      </c>
      <c r="B418" s="485">
        <v>168913.55</v>
      </c>
    </row>
    <row r="419" spans="1:2" x14ac:dyDescent="0.2">
      <c r="A419" s="272">
        <v>1620025114</v>
      </c>
      <c r="B419" s="485">
        <v>190870.18</v>
      </c>
    </row>
    <row r="420" spans="1:2" x14ac:dyDescent="0.2">
      <c r="A420" s="272">
        <v>1620025115</v>
      </c>
      <c r="B420" s="485">
        <v>227998.54</v>
      </c>
    </row>
    <row r="421" spans="1:2" x14ac:dyDescent="0.2">
      <c r="A421" s="272">
        <v>1620025116</v>
      </c>
      <c r="B421" s="485">
        <v>275623.73</v>
      </c>
    </row>
    <row r="422" spans="1:2" x14ac:dyDescent="0.2">
      <c r="A422" s="272">
        <v>1620025119</v>
      </c>
      <c r="B422" s="485">
        <v>263145.28999999998</v>
      </c>
    </row>
    <row r="423" spans="1:2" x14ac:dyDescent="0.2">
      <c r="A423" s="272">
        <v>1620025120</v>
      </c>
      <c r="B423" s="485">
        <v>356694.58</v>
      </c>
    </row>
    <row r="424" spans="1:2" x14ac:dyDescent="0.2">
      <c r="A424" s="272">
        <v>1620025123</v>
      </c>
      <c r="B424" s="485">
        <v>371358.3</v>
      </c>
    </row>
    <row r="425" spans="1:2" x14ac:dyDescent="0.2">
      <c r="A425" s="272">
        <v>1620025124</v>
      </c>
      <c r="B425" s="485">
        <v>313558.18</v>
      </c>
    </row>
    <row r="426" spans="1:2" x14ac:dyDescent="0.2">
      <c r="A426" s="272">
        <v>1620025125</v>
      </c>
      <c r="B426" s="485">
        <v>397013.97</v>
      </c>
    </row>
    <row r="427" spans="1:2" x14ac:dyDescent="0.2">
      <c r="A427" s="272">
        <v>1620025126</v>
      </c>
      <c r="B427" s="485">
        <v>268635.8</v>
      </c>
    </row>
    <row r="428" spans="1:2" x14ac:dyDescent="0.2">
      <c r="A428" s="272">
        <v>1620025128</v>
      </c>
      <c r="B428" s="485">
        <v>159823.82999999999</v>
      </c>
    </row>
    <row r="429" spans="1:2" x14ac:dyDescent="0.2">
      <c r="A429" s="272">
        <v>1620025129</v>
      </c>
      <c r="B429" s="485">
        <v>93538.37</v>
      </c>
    </row>
    <row r="430" spans="1:2" x14ac:dyDescent="0.2">
      <c r="A430" s="272">
        <v>1620025130</v>
      </c>
      <c r="B430" s="485">
        <v>297885.26</v>
      </c>
    </row>
    <row r="431" spans="1:2" x14ac:dyDescent="0.2">
      <c r="A431" s="272">
        <v>1620025131</v>
      </c>
      <c r="B431" s="485">
        <v>0</v>
      </c>
    </row>
    <row r="432" spans="1:2" x14ac:dyDescent="0.2">
      <c r="A432" s="272">
        <v>1620025133</v>
      </c>
      <c r="B432" s="485">
        <v>270732.18</v>
      </c>
    </row>
    <row r="433" spans="1:2" x14ac:dyDescent="0.2">
      <c r="A433" s="272">
        <v>1620025134</v>
      </c>
      <c r="B433" s="485">
        <v>0</v>
      </c>
    </row>
    <row r="434" spans="1:2" x14ac:dyDescent="0.2">
      <c r="A434" s="272">
        <v>1620025135</v>
      </c>
      <c r="B434" s="485">
        <v>380342.78</v>
      </c>
    </row>
    <row r="435" spans="1:2" x14ac:dyDescent="0.2">
      <c r="A435" s="272">
        <v>1620025136</v>
      </c>
      <c r="B435" s="485">
        <v>365767.96</v>
      </c>
    </row>
    <row r="436" spans="1:2" x14ac:dyDescent="0.2">
      <c r="A436" s="272">
        <v>1620025137</v>
      </c>
      <c r="B436" s="485">
        <v>94836.13</v>
      </c>
    </row>
    <row r="437" spans="1:2" x14ac:dyDescent="0.2">
      <c r="A437" s="272">
        <v>1620025138</v>
      </c>
      <c r="B437" s="485">
        <v>142553.67000000001</v>
      </c>
    </row>
    <row r="438" spans="1:2" x14ac:dyDescent="0.2">
      <c r="A438" s="272">
        <v>1620025140</v>
      </c>
      <c r="B438" s="485">
        <v>347000.39</v>
      </c>
    </row>
    <row r="439" spans="1:2" x14ac:dyDescent="0.2">
      <c r="A439" s="272">
        <v>1620025141</v>
      </c>
      <c r="B439" s="485">
        <v>162319.51999999999</v>
      </c>
    </row>
    <row r="440" spans="1:2" x14ac:dyDescent="0.2">
      <c r="A440" s="272">
        <v>1620025142</v>
      </c>
      <c r="B440" s="485">
        <v>363571.76</v>
      </c>
    </row>
    <row r="441" spans="1:2" x14ac:dyDescent="0.2">
      <c r="A441" s="272">
        <v>1620025143</v>
      </c>
      <c r="B441" s="485">
        <v>297386.12</v>
      </c>
    </row>
    <row r="442" spans="1:2" x14ac:dyDescent="0.2">
      <c r="A442" s="272">
        <v>1620025145</v>
      </c>
      <c r="B442" s="485">
        <v>688011.13</v>
      </c>
    </row>
    <row r="443" spans="1:2" x14ac:dyDescent="0.2">
      <c r="A443" s="272">
        <v>1620025146</v>
      </c>
      <c r="B443" s="485">
        <v>351991.77</v>
      </c>
    </row>
    <row r="444" spans="1:2" x14ac:dyDescent="0.2">
      <c r="A444" s="272">
        <v>1620025147</v>
      </c>
      <c r="B444" s="485">
        <v>244085.55</v>
      </c>
    </row>
    <row r="445" spans="1:2" x14ac:dyDescent="0.2">
      <c r="A445" s="272">
        <v>1620025149</v>
      </c>
      <c r="B445" s="485">
        <v>202250.52</v>
      </c>
    </row>
    <row r="446" spans="1:2" x14ac:dyDescent="0.2">
      <c r="A446" s="272">
        <v>1620025152</v>
      </c>
      <c r="B446" s="485">
        <v>287004.06</v>
      </c>
    </row>
    <row r="447" spans="1:2" x14ac:dyDescent="0.2">
      <c r="A447" s="272">
        <v>1620025153</v>
      </c>
      <c r="B447" s="485">
        <v>494046.3</v>
      </c>
    </row>
    <row r="448" spans="1:2" x14ac:dyDescent="0.2">
      <c r="A448" s="272">
        <v>1620025155</v>
      </c>
      <c r="B448" s="485">
        <v>102082.97</v>
      </c>
    </row>
    <row r="449" spans="1:2" x14ac:dyDescent="0.2">
      <c r="A449" s="272">
        <v>1620025156</v>
      </c>
      <c r="B449" s="485">
        <v>230601.53</v>
      </c>
    </row>
    <row r="450" spans="1:2" x14ac:dyDescent="0.2">
      <c r="A450" s="272">
        <v>1620025157</v>
      </c>
      <c r="B450" s="485">
        <v>208639.48</v>
      </c>
    </row>
    <row r="451" spans="1:2" x14ac:dyDescent="0.2">
      <c r="A451" s="272">
        <v>1620025158</v>
      </c>
      <c r="B451" s="485">
        <v>464597.19</v>
      </c>
    </row>
    <row r="452" spans="1:2" x14ac:dyDescent="0.2">
      <c r="A452" s="272">
        <v>1620025159</v>
      </c>
      <c r="B452" s="485">
        <v>621526.02</v>
      </c>
    </row>
    <row r="453" spans="1:2" x14ac:dyDescent="0.2">
      <c r="A453" s="272">
        <v>1620025160</v>
      </c>
      <c r="B453" s="485">
        <v>118994.38</v>
      </c>
    </row>
    <row r="454" spans="1:2" x14ac:dyDescent="0.2">
      <c r="A454" s="272">
        <v>1620025162</v>
      </c>
      <c r="B454" s="485">
        <v>331027.99</v>
      </c>
    </row>
    <row r="455" spans="1:2" x14ac:dyDescent="0.2">
      <c r="A455" s="272">
        <v>1620025164</v>
      </c>
      <c r="B455" s="485">
        <v>235193.59</v>
      </c>
    </row>
    <row r="456" spans="1:2" x14ac:dyDescent="0.2">
      <c r="A456" s="272">
        <v>1620025165</v>
      </c>
      <c r="B456" s="485">
        <v>283709.76</v>
      </c>
    </row>
    <row r="457" spans="1:2" x14ac:dyDescent="0.2">
      <c r="A457" s="272">
        <v>1620025166</v>
      </c>
      <c r="B457" s="485">
        <v>363272.27</v>
      </c>
    </row>
    <row r="458" spans="1:2" x14ac:dyDescent="0.2">
      <c r="A458" s="272">
        <v>1620025167</v>
      </c>
      <c r="B458" s="485">
        <v>109311.11</v>
      </c>
    </row>
    <row r="459" spans="1:2" x14ac:dyDescent="0.2">
      <c r="A459" s="272">
        <v>1620025168</v>
      </c>
      <c r="B459" s="485">
        <v>206642.93</v>
      </c>
    </row>
    <row r="460" spans="1:2" x14ac:dyDescent="0.2">
      <c r="A460" s="272">
        <v>1620025169</v>
      </c>
      <c r="B460" s="485">
        <v>195562.07</v>
      </c>
    </row>
    <row r="461" spans="1:2" x14ac:dyDescent="0.2">
      <c r="A461" s="272">
        <v>1620025170</v>
      </c>
      <c r="B461" s="485">
        <v>308866.28999999998</v>
      </c>
    </row>
    <row r="462" spans="1:2" x14ac:dyDescent="0.2">
      <c r="A462" s="272">
        <v>1620025171</v>
      </c>
      <c r="B462" s="485">
        <v>303201.07</v>
      </c>
    </row>
    <row r="463" spans="1:2" x14ac:dyDescent="0.2">
      <c r="A463" s="272">
        <v>1620025174</v>
      </c>
      <c r="B463" s="485">
        <v>461702.19</v>
      </c>
    </row>
    <row r="464" spans="1:2" x14ac:dyDescent="0.2">
      <c r="A464" s="272">
        <v>1620025175</v>
      </c>
      <c r="B464" s="485">
        <v>375650.88</v>
      </c>
    </row>
    <row r="465" spans="1:2" x14ac:dyDescent="0.2">
      <c r="A465" s="272">
        <v>1620025177</v>
      </c>
      <c r="B465" s="485">
        <v>548452.29</v>
      </c>
    </row>
    <row r="466" spans="1:2" x14ac:dyDescent="0.2">
      <c r="A466" s="272">
        <v>1620025179</v>
      </c>
      <c r="B466" s="485">
        <v>471085.97</v>
      </c>
    </row>
    <row r="467" spans="1:2" x14ac:dyDescent="0.2">
      <c r="A467" s="272">
        <v>1620025180</v>
      </c>
      <c r="B467" s="485">
        <v>518204.55</v>
      </c>
    </row>
    <row r="468" spans="1:2" x14ac:dyDescent="0.2">
      <c r="A468" s="272">
        <v>1620025181</v>
      </c>
      <c r="B468" s="485">
        <v>221916.53</v>
      </c>
    </row>
    <row r="469" spans="1:2" x14ac:dyDescent="0.2">
      <c r="A469" s="272">
        <v>1620025184</v>
      </c>
      <c r="B469" s="485">
        <v>159324.69</v>
      </c>
    </row>
    <row r="470" spans="1:2" x14ac:dyDescent="0.2">
      <c r="A470" s="272">
        <v>1620025191</v>
      </c>
      <c r="B470" s="485">
        <v>0</v>
      </c>
    </row>
    <row r="471" spans="1:2" x14ac:dyDescent="0.2">
      <c r="A471" s="272">
        <v>1620025192</v>
      </c>
      <c r="B471" s="485">
        <v>361475.38</v>
      </c>
    </row>
    <row r="472" spans="1:2" x14ac:dyDescent="0.2">
      <c r="A472" s="272">
        <v>1620025193</v>
      </c>
      <c r="B472" s="485">
        <v>173001.06</v>
      </c>
    </row>
    <row r="473" spans="1:2" x14ac:dyDescent="0.2">
      <c r="A473" s="272">
        <v>1620025194</v>
      </c>
      <c r="B473" s="485">
        <v>191269.49</v>
      </c>
    </row>
    <row r="474" spans="1:2" x14ac:dyDescent="0.2">
      <c r="A474" s="272">
        <v>1620025197</v>
      </c>
      <c r="B474" s="485">
        <v>222715.15</v>
      </c>
    </row>
    <row r="475" spans="1:2" x14ac:dyDescent="0.2">
      <c r="A475" s="272">
        <v>1620025198</v>
      </c>
      <c r="B475" s="485">
        <v>229703.08</v>
      </c>
    </row>
    <row r="476" spans="1:2" x14ac:dyDescent="0.2">
      <c r="A476" s="272">
        <v>1620025199</v>
      </c>
      <c r="B476" s="485">
        <v>74571.14</v>
      </c>
    </row>
    <row r="477" spans="1:2" x14ac:dyDescent="0.2">
      <c r="A477" s="272">
        <v>1620025201</v>
      </c>
      <c r="B477" s="485">
        <v>178545.9</v>
      </c>
    </row>
    <row r="478" spans="1:2" x14ac:dyDescent="0.2">
      <c r="A478" s="272">
        <v>1620025202</v>
      </c>
      <c r="B478" s="485">
        <v>445173.11</v>
      </c>
    </row>
    <row r="479" spans="1:2" x14ac:dyDescent="0.2">
      <c r="A479" s="272">
        <v>1620025204</v>
      </c>
      <c r="B479" s="485">
        <v>158426.23999999999</v>
      </c>
    </row>
    <row r="480" spans="1:2" x14ac:dyDescent="0.2">
      <c r="A480" s="272">
        <v>1620025206</v>
      </c>
      <c r="B480" s="485">
        <v>375451.23</v>
      </c>
    </row>
    <row r="481" spans="1:2" x14ac:dyDescent="0.2">
      <c r="A481" s="272">
        <v>1620025207</v>
      </c>
      <c r="B481" s="485">
        <v>153135.39000000001</v>
      </c>
    </row>
    <row r="482" spans="1:2" x14ac:dyDescent="0.2">
      <c r="A482" s="272">
        <v>1620025209</v>
      </c>
      <c r="B482" s="485">
        <v>212632.58</v>
      </c>
    </row>
    <row r="483" spans="1:2" x14ac:dyDescent="0.2">
      <c r="A483" s="272">
        <v>1620025211</v>
      </c>
      <c r="B483" s="485">
        <v>427161.87</v>
      </c>
    </row>
    <row r="484" spans="1:2" x14ac:dyDescent="0.2">
      <c r="A484" s="272">
        <v>1620025212</v>
      </c>
      <c r="B484" s="485">
        <v>232198.77</v>
      </c>
    </row>
    <row r="485" spans="1:2" x14ac:dyDescent="0.2">
      <c r="A485" s="272">
        <v>1620025213</v>
      </c>
      <c r="B485" s="485">
        <v>168009.68</v>
      </c>
    </row>
    <row r="486" spans="1:2" x14ac:dyDescent="0.2">
      <c r="A486" s="272">
        <v>1620025214</v>
      </c>
      <c r="B486" s="485">
        <v>324838.69</v>
      </c>
    </row>
    <row r="487" spans="1:2" x14ac:dyDescent="0.2">
      <c r="A487" s="272">
        <v>1620025463</v>
      </c>
      <c r="B487" s="485">
        <v>449223.75</v>
      </c>
    </row>
    <row r="488" spans="1:2" x14ac:dyDescent="0.2">
      <c r="A488" s="272">
        <v>1620025464</v>
      </c>
      <c r="B488" s="485">
        <v>109510.77</v>
      </c>
    </row>
    <row r="489" spans="1:2" x14ac:dyDescent="0.2">
      <c r="A489" s="272">
        <v>1620025465</v>
      </c>
      <c r="B489" s="485">
        <v>337616.61</v>
      </c>
    </row>
    <row r="490" spans="1:2" x14ac:dyDescent="0.2">
      <c r="A490" s="272">
        <v>1620025466</v>
      </c>
      <c r="B490" s="485">
        <v>186777.25</v>
      </c>
    </row>
    <row r="491" spans="1:2" x14ac:dyDescent="0.2">
      <c r="A491" s="272">
        <v>1620025467</v>
      </c>
      <c r="B491" s="485">
        <v>493722.86</v>
      </c>
    </row>
    <row r="492" spans="1:2" x14ac:dyDescent="0.2">
      <c r="A492" s="272">
        <v>1620025468</v>
      </c>
      <c r="B492" s="485">
        <v>423268.6</v>
      </c>
    </row>
    <row r="493" spans="1:2" x14ac:dyDescent="0.2">
      <c r="A493" s="272">
        <v>1620025470</v>
      </c>
      <c r="B493" s="485">
        <v>327833.51</v>
      </c>
    </row>
    <row r="494" spans="1:2" x14ac:dyDescent="0.2">
      <c r="A494" s="272">
        <v>1620025471</v>
      </c>
      <c r="B494" s="485">
        <v>284308.71999999997</v>
      </c>
    </row>
    <row r="495" spans="1:2" x14ac:dyDescent="0.2">
      <c r="A495" s="272">
        <v>1620025472</v>
      </c>
      <c r="B495" s="485">
        <v>209637.75</v>
      </c>
    </row>
    <row r="496" spans="1:2" x14ac:dyDescent="0.2">
      <c r="A496" s="272">
        <v>1620025474</v>
      </c>
      <c r="B496" s="485">
        <v>320845.59000000003</v>
      </c>
    </row>
    <row r="497" spans="1:2" x14ac:dyDescent="0.2">
      <c r="A497" s="272">
        <v>1620025475</v>
      </c>
      <c r="B497" s="485">
        <v>269634.08</v>
      </c>
    </row>
    <row r="498" spans="1:2" x14ac:dyDescent="0.2">
      <c r="A498" s="272">
        <v>1620025476</v>
      </c>
      <c r="B498" s="485">
        <v>310263.87</v>
      </c>
    </row>
    <row r="499" spans="1:2" x14ac:dyDescent="0.2">
      <c r="A499" s="272">
        <v>1620025477</v>
      </c>
      <c r="B499" s="485">
        <v>595870.35</v>
      </c>
    </row>
    <row r="500" spans="1:2" x14ac:dyDescent="0.2">
      <c r="A500" s="272">
        <v>1620025478</v>
      </c>
      <c r="B500" s="485">
        <v>453715.99</v>
      </c>
    </row>
    <row r="501" spans="1:2" x14ac:dyDescent="0.2">
      <c r="A501" s="272">
        <v>1620025479</v>
      </c>
      <c r="B501" s="485">
        <v>392421.9</v>
      </c>
    </row>
    <row r="502" spans="1:2" x14ac:dyDescent="0.2">
      <c r="A502" s="272">
        <v>1620025480</v>
      </c>
      <c r="B502" s="485">
        <v>352166.46</v>
      </c>
    </row>
    <row r="503" spans="1:2" x14ac:dyDescent="0.2">
      <c r="A503" s="272">
        <v>1620025481</v>
      </c>
      <c r="B503" s="485">
        <v>292245.01</v>
      </c>
    </row>
    <row r="504" spans="1:2" x14ac:dyDescent="0.2">
      <c r="A504" s="272">
        <v>1620025482</v>
      </c>
      <c r="B504" s="485">
        <v>378146.57</v>
      </c>
    </row>
    <row r="505" spans="1:2" x14ac:dyDescent="0.2">
      <c r="A505" s="272">
        <v>1620025483</v>
      </c>
      <c r="B505" s="485">
        <v>252663.4</v>
      </c>
    </row>
    <row r="506" spans="1:2" x14ac:dyDescent="0.2">
      <c r="A506" s="272">
        <v>1620025484</v>
      </c>
      <c r="B506" s="485">
        <v>419075.85</v>
      </c>
    </row>
    <row r="507" spans="1:2" x14ac:dyDescent="0.2">
      <c r="A507" s="272">
        <v>1620025485</v>
      </c>
      <c r="B507" s="485">
        <v>251565.3</v>
      </c>
    </row>
    <row r="508" spans="1:2" x14ac:dyDescent="0.2">
      <c r="A508" s="272">
        <v>1620025486</v>
      </c>
      <c r="B508" s="485">
        <v>366965.89</v>
      </c>
    </row>
    <row r="509" spans="1:2" x14ac:dyDescent="0.2">
      <c r="A509" s="272">
        <v>1620025487</v>
      </c>
      <c r="B509" s="485">
        <v>426263.43</v>
      </c>
    </row>
    <row r="510" spans="1:2" x14ac:dyDescent="0.2">
      <c r="A510" s="272">
        <v>1620025488</v>
      </c>
      <c r="B510" s="485">
        <v>437244.45</v>
      </c>
    </row>
    <row r="511" spans="1:2" x14ac:dyDescent="0.2">
      <c r="A511" s="272">
        <v>1620025489</v>
      </c>
      <c r="B511" s="485">
        <v>294291.46999999997</v>
      </c>
    </row>
    <row r="512" spans="1:2" x14ac:dyDescent="0.2">
      <c r="A512" s="272">
        <v>1620025491</v>
      </c>
      <c r="B512" s="485">
        <v>531681.27</v>
      </c>
    </row>
    <row r="513" spans="1:2" x14ac:dyDescent="0.2">
      <c r="A513" s="272">
        <v>1620025492</v>
      </c>
      <c r="B513" s="485">
        <v>366267.1</v>
      </c>
    </row>
    <row r="514" spans="1:2" x14ac:dyDescent="0.2">
      <c r="A514" s="272">
        <v>1620025495</v>
      </c>
      <c r="B514" s="485">
        <v>291995.44</v>
      </c>
    </row>
    <row r="515" spans="1:2" x14ac:dyDescent="0.2">
      <c r="A515" s="272">
        <v>1620025496</v>
      </c>
      <c r="B515" s="485">
        <v>381840.19</v>
      </c>
    </row>
    <row r="516" spans="1:2" x14ac:dyDescent="0.2">
      <c r="A516" s="272">
        <v>1620025498</v>
      </c>
      <c r="B516" s="485">
        <v>326535.75</v>
      </c>
    </row>
    <row r="517" spans="1:2" x14ac:dyDescent="0.2">
      <c r="A517" s="272">
        <v>1620025499</v>
      </c>
      <c r="B517" s="485">
        <v>416205.8</v>
      </c>
    </row>
    <row r="518" spans="1:2" x14ac:dyDescent="0.2">
      <c r="A518" s="272">
        <v>1620025500</v>
      </c>
      <c r="B518" s="485">
        <v>349695.73</v>
      </c>
    </row>
    <row r="519" spans="1:2" x14ac:dyDescent="0.2">
      <c r="A519" s="272">
        <v>1620025501</v>
      </c>
      <c r="B519" s="485">
        <v>343306.77</v>
      </c>
    </row>
    <row r="520" spans="1:2" x14ac:dyDescent="0.2">
      <c r="A520" s="272">
        <v>1620025502</v>
      </c>
      <c r="B520" s="485">
        <v>546355.91</v>
      </c>
    </row>
    <row r="521" spans="1:2" x14ac:dyDescent="0.2">
      <c r="A521" s="272">
        <v>1620025503</v>
      </c>
      <c r="B521" s="485">
        <v>472283.9</v>
      </c>
    </row>
    <row r="522" spans="1:2" x14ac:dyDescent="0.2">
      <c r="A522" s="272">
        <v>1620025504</v>
      </c>
      <c r="B522" s="485">
        <v>322243.17</v>
      </c>
    </row>
    <row r="523" spans="1:2" x14ac:dyDescent="0.2">
      <c r="A523" s="272">
        <v>1620025505</v>
      </c>
      <c r="B523" s="485">
        <v>345403.15</v>
      </c>
    </row>
    <row r="524" spans="1:2" x14ac:dyDescent="0.2">
      <c r="A524" s="272">
        <v>1620025506</v>
      </c>
      <c r="B524" s="485">
        <v>374253.3</v>
      </c>
    </row>
    <row r="525" spans="1:2" x14ac:dyDescent="0.2">
      <c r="A525" s="272">
        <v>1620025507</v>
      </c>
      <c r="B525" s="485">
        <v>131173.34</v>
      </c>
    </row>
    <row r="526" spans="1:2" x14ac:dyDescent="0.2">
      <c r="A526" s="272">
        <v>1620025508</v>
      </c>
      <c r="B526" s="485">
        <v>227303.42</v>
      </c>
    </row>
    <row r="527" spans="1:2" x14ac:dyDescent="0.2">
      <c r="A527" s="272">
        <v>1620025509</v>
      </c>
      <c r="B527" s="485">
        <v>385433.98</v>
      </c>
    </row>
    <row r="528" spans="1:2" x14ac:dyDescent="0.2">
      <c r="A528" s="272">
        <v>1620025510</v>
      </c>
      <c r="B528" s="485">
        <v>358580.38</v>
      </c>
    </row>
    <row r="529" spans="1:2" x14ac:dyDescent="0.2">
      <c r="A529" s="272">
        <v>1620025511</v>
      </c>
      <c r="B529" s="485">
        <v>236691</v>
      </c>
    </row>
    <row r="530" spans="1:2" x14ac:dyDescent="0.2">
      <c r="A530" s="272">
        <v>1620025512</v>
      </c>
      <c r="B530" s="485">
        <v>454015.47</v>
      </c>
    </row>
    <row r="531" spans="1:2" x14ac:dyDescent="0.2">
      <c r="A531" s="272">
        <v>1620025514</v>
      </c>
      <c r="B531" s="485">
        <v>418676.54</v>
      </c>
    </row>
    <row r="532" spans="1:2" x14ac:dyDescent="0.2">
      <c r="A532" s="272">
        <v>1620025515</v>
      </c>
      <c r="B532" s="485">
        <v>429857.22</v>
      </c>
    </row>
    <row r="533" spans="1:2" x14ac:dyDescent="0.2">
      <c r="A533" s="272">
        <v>1620025516</v>
      </c>
      <c r="B533" s="485">
        <v>396415.58</v>
      </c>
    </row>
    <row r="534" spans="1:2" x14ac:dyDescent="0.2">
      <c r="A534" s="272">
        <v>1620025517</v>
      </c>
      <c r="B534" s="485">
        <v>258353.57</v>
      </c>
    </row>
    <row r="535" spans="1:2" x14ac:dyDescent="0.2">
      <c r="A535" s="272">
        <v>1620025518</v>
      </c>
      <c r="B535" s="485">
        <v>440838.24</v>
      </c>
    </row>
    <row r="536" spans="1:2" x14ac:dyDescent="0.2">
      <c r="A536" s="272">
        <v>1620025519</v>
      </c>
      <c r="B536" s="485">
        <v>232198.77</v>
      </c>
    </row>
    <row r="537" spans="1:2" x14ac:dyDescent="0.2">
      <c r="A537" s="272">
        <v>1620025520</v>
      </c>
      <c r="B537" s="485">
        <v>258852.71</v>
      </c>
    </row>
    <row r="538" spans="1:2" x14ac:dyDescent="0.2">
      <c r="A538" s="272">
        <v>1620025521</v>
      </c>
      <c r="B538" s="485">
        <v>276023.03999999998</v>
      </c>
    </row>
    <row r="539" spans="1:2" x14ac:dyDescent="0.2">
      <c r="A539" s="272">
        <v>1620025522</v>
      </c>
      <c r="B539" s="485">
        <v>217224.64</v>
      </c>
    </row>
    <row r="540" spans="1:2" x14ac:dyDescent="0.2">
      <c r="A540" s="272">
        <v>1620025523</v>
      </c>
      <c r="B540" s="485">
        <v>365368.65</v>
      </c>
    </row>
    <row r="541" spans="1:2" x14ac:dyDescent="0.2">
      <c r="A541" s="272">
        <v>1620025524</v>
      </c>
      <c r="B541" s="485">
        <v>197957.93</v>
      </c>
    </row>
    <row r="542" spans="1:2" x14ac:dyDescent="0.2">
      <c r="A542" s="272">
        <v>1620025525</v>
      </c>
      <c r="B542" s="485">
        <v>329231.09999999998</v>
      </c>
    </row>
    <row r="543" spans="1:2" x14ac:dyDescent="0.2">
      <c r="A543" s="272">
        <v>1620025526</v>
      </c>
      <c r="B543" s="485">
        <v>310962.65999999997</v>
      </c>
    </row>
    <row r="544" spans="1:2" x14ac:dyDescent="0.2">
      <c r="A544" s="272">
        <v>1620025527</v>
      </c>
      <c r="B544" s="485">
        <v>100925.6</v>
      </c>
    </row>
    <row r="545" spans="1:2" x14ac:dyDescent="0.2">
      <c r="A545" s="272">
        <v>1620025528</v>
      </c>
      <c r="B545" s="485">
        <v>296687.33</v>
      </c>
    </row>
    <row r="546" spans="1:2" x14ac:dyDescent="0.2">
      <c r="A546" s="272">
        <v>1620025529</v>
      </c>
      <c r="B546" s="485">
        <v>282811.31</v>
      </c>
    </row>
    <row r="547" spans="1:2" x14ac:dyDescent="0.2">
      <c r="A547" s="272">
        <v>1620025530</v>
      </c>
      <c r="B547" s="485">
        <v>251565.3</v>
      </c>
    </row>
    <row r="548" spans="1:2" x14ac:dyDescent="0.2">
      <c r="A548" s="272">
        <v>1620025531</v>
      </c>
      <c r="B548" s="485">
        <v>257055.81</v>
      </c>
    </row>
    <row r="549" spans="1:2" x14ac:dyDescent="0.2">
      <c r="A549" s="272">
        <v>1620025532</v>
      </c>
      <c r="B549" s="485">
        <v>165014.85999999999</v>
      </c>
    </row>
    <row r="550" spans="1:2" x14ac:dyDescent="0.2">
      <c r="A550" s="272">
        <v>1620025533</v>
      </c>
      <c r="B550" s="485">
        <v>74471.320000000007</v>
      </c>
    </row>
    <row r="551" spans="1:2" x14ac:dyDescent="0.2">
      <c r="A551" s="272">
        <v>1620025534</v>
      </c>
      <c r="B551" s="485">
        <v>319448</v>
      </c>
    </row>
    <row r="552" spans="1:2" x14ac:dyDescent="0.2">
      <c r="A552" s="272">
        <v>1620025535</v>
      </c>
      <c r="B552" s="485">
        <v>271630.63</v>
      </c>
    </row>
    <row r="553" spans="1:2" x14ac:dyDescent="0.2">
      <c r="A553" s="272">
        <v>1620025536</v>
      </c>
      <c r="B553" s="485">
        <v>347799.01</v>
      </c>
    </row>
    <row r="554" spans="1:2" x14ac:dyDescent="0.2">
      <c r="A554" s="272">
        <v>1620025537</v>
      </c>
      <c r="B554" s="485">
        <v>255358.75</v>
      </c>
    </row>
    <row r="555" spans="1:2" x14ac:dyDescent="0.2">
      <c r="A555" s="272">
        <v>1620025538</v>
      </c>
      <c r="B555" s="485">
        <v>241882.03</v>
      </c>
    </row>
    <row r="556" spans="1:2" x14ac:dyDescent="0.2">
      <c r="A556" s="272">
        <v>1620025539</v>
      </c>
      <c r="B556" s="485">
        <v>124385.07</v>
      </c>
    </row>
    <row r="557" spans="1:2" x14ac:dyDescent="0.2">
      <c r="A557" s="272">
        <v>1620025540</v>
      </c>
      <c r="B557" s="485">
        <v>310363.7</v>
      </c>
    </row>
    <row r="558" spans="1:2" x14ac:dyDescent="0.2">
      <c r="A558" s="272">
        <v>1620025541</v>
      </c>
      <c r="B558" s="485">
        <v>325936.78999999998</v>
      </c>
    </row>
    <row r="559" spans="1:2" x14ac:dyDescent="0.2">
      <c r="A559" s="272">
        <v>1620025542</v>
      </c>
      <c r="B559" s="485">
        <v>113404.04</v>
      </c>
    </row>
    <row r="560" spans="1:2" x14ac:dyDescent="0.2">
      <c r="A560" s="272">
        <v>1620025543</v>
      </c>
      <c r="B560" s="485">
        <v>159324.69</v>
      </c>
    </row>
    <row r="561" spans="1:2" x14ac:dyDescent="0.2">
      <c r="A561" s="272">
        <v>1620025544</v>
      </c>
      <c r="B561" s="485">
        <v>92540.09</v>
      </c>
    </row>
    <row r="562" spans="1:2" x14ac:dyDescent="0.2">
      <c r="A562" s="272">
        <v>1620025545</v>
      </c>
      <c r="B562" s="485">
        <v>222715.15</v>
      </c>
    </row>
    <row r="563" spans="1:2" x14ac:dyDescent="0.2">
      <c r="A563" s="272">
        <v>1620025546</v>
      </c>
      <c r="B563" s="485">
        <v>223214.29</v>
      </c>
    </row>
    <row r="564" spans="1:2" x14ac:dyDescent="0.2">
      <c r="A564" s="272">
        <v>1620025547</v>
      </c>
      <c r="B564" s="485">
        <v>239486.17</v>
      </c>
    </row>
    <row r="565" spans="1:2" x14ac:dyDescent="0.2">
      <c r="A565" s="272">
        <v>1620025548</v>
      </c>
      <c r="B565" s="485">
        <v>135166.44</v>
      </c>
    </row>
    <row r="566" spans="1:2" x14ac:dyDescent="0.2">
      <c r="A566" s="272">
        <v>1620025549</v>
      </c>
      <c r="B566" s="485">
        <v>45083.34</v>
      </c>
    </row>
    <row r="567" spans="1:2" x14ac:dyDescent="0.2">
      <c r="A567" s="272">
        <v>1620025550</v>
      </c>
      <c r="B567" s="485">
        <v>26154.81</v>
      </c>
    </row>
    <row r="568" spans="1:2" x14ac:dyDescent="0.2">
      <c r="A568" s="272">
        <v>1620025551</v>
      </c>
      <c r="B568" s="485">
        <v>25955.15</v>
      </c>
    </row>
    <row r="569" spans="1:2" x14ac:dyDescent="0.2">
      <c r="A569" s="272">
        <v>1620025552</v>
      </c>
      <c r="B569" s="485">
        <v>0</v>
      </c>
    </row>
    <row r="570" spans="1:2" x14ac:dyDescent="0.2">
      <c r="A570" s="272">
        <v>1620026000</v>
      </c>
      <c r="B570" s="485">
        <v>218821.88</v>
      </c>
    </row>
    <row r="571" spans="1:2" x14ac:dyDescent="0.2">
      <c r="A571" s="272">
        <v>1620026001</v>
      </c>
      <c r="B571" s="485">
        <v>62092.71</v>
      </c>
    </row>
    <row r="572" spans="1:2" x14ac:dyDescent="0.2">
      <c r="A572" s="272">
        <v>1620026002</v>
      </c>
      <c r="B572" s="485">
        <v>96919.24</v>
      </c>
    </row>
    <row r="573" spans="1:2" x14ac:dyDescent="0.2">
      <c r="A573" s="272">
        <v>1620026005</v>
      </c>
      <c r="B573" s="485">
        <v>101624.4</v>
      </c>
    </row>
    <row r="574" spans="1:2" x14ac:dyDescent="0.2">
      <c r="A574" s="272">
        <v>1620027000</v>
      </c>
      <c r="B574" s="485">
        <v>410490.68</v>
      </c>
    </row>
    <row r="575" spans="1:2" x14ac:dyDescent="0.2">
      <c r="A575" s="272">
        <v>1620027002</v>
      </c>
      <c r="B575" s="485">
        <v>19366.54</v>
      </c>
    </row>
    <row r="576" spans="1:2" x14ac:dyDescent="0.2">
      <c r="A576" s="272">
        <v>1620027003</v>
      </c>
      <c r="B576" s="485">
        <v>348397.98</v>
      </c>
    </row>
    <row r="577" spans="1:2" x14ac:dyDescent="0.2">
      <c r="A577" s="272">
        <v>1620027004</v>
      </c>
      <c r="B577" s="485">
        <v>391623.28</v>
      </c>
    </row>
    <row r="578" spans="1:2" x14ac:dyDescent="0.2">
      <c r="A578" s="272">
        <v>1620027005</v>
      </c>
      <c r="B578" s="485">
        <v>335278.64</v>
      </c>
    </row>
    <row r="579" spans="1:2" x14ac:dyDescent="0.2">
      <c r="A579" s="272">
        <v>1620027007</v>
      </c>
      <c r="B579" s="485">
        <v>166212.79</v>
      </c>
    </row>
    <row r="580" spans="1:2" x14ac:dyDescent="0.2">
      <c r="A580" s="272">
        <v>1620027008</v>
      </c>
      <c r="B580" s="485">
        <v>583192.26</v>
      </c>
    </row>
    <row r="581" spans="1:2" x14ac:dyDescent="0.2">
      <c r="A581" s="272">
        <v>1620027009</v>
      </c>
      <c r="B581" s="485">
        <v>282511.83</v>
      </c>
    </row>
    <row r="582" spans="1:2" x14ac:dyDescent="0.2">
      <c r="A582" s="272">
        <v>1620027010</v>
      </c>
      <c r="B582" s="485">
        <v>0</v>
      </c>
    </row>
    <row r="583" spans="1:2" x14ac:dyDescent="0.2">
      <c r="A583" s="272">
        <v>1620027011</v>
      </c>
      <c r="B583" s="485">
        <v>396514.83</v>
      </c>
    </row>
    <row r="584" spans="1:2" x14ac:dyDescent="0.2">
      <c r="A584" s="272">
        <v>1620027012</v>
      </c>
      <c r="B584" s="485">
        <v>400089.77</v>
      </c>
    </row>
    <row r="585" spans="1:2" x14ac:dyDescent="0.2">
      <c r="A585" s="272">
        <v>1620027013</v>
      </c>
      <c r="B585" s="485">
        <v>560231.93000000005</v>
      </c>
    </row>
    <row r="586" spans="1:2" x14ac:dyDescent="0.2">
      <c r="A586" s="272">
        <v>1620027014</v>
      </c>
      <c r="B586" s="485">
        <v>424167.05</v>
      </c>
    </row>
    <row r="587" spans="1:2" x14ac:dyDescent="0.2">
      <c r="A587" s="272">
        <v>1620027015</v>
      </c>
      <c r="B587" s="485">
        <v>410814.44</v>
      </c>
    </row>
    <row r="588" spans="1:2" x14ac:dyDescent="0.2">
      <c r="A588" s="272">
        <v>1620027017</v>
      </c>
      <c r="B588" s="485">
        <v>512614.21</v>
      </c>
    </row>
    <row r="589" spans="1:2" x14ac:dyDescent="0.2">
      <c r="A589" s="272">
        <v>1620027018</v>
      </c>
      <c r="B589" s="485">
        <v>653652.5</v>
      </c>
    </row>
    <row r="590" spans="1:2" x14ac:dyDescent="0.2">
      <c r="A590" s="272">
        <v>1620027019</v>
      </c>
      <c r="B590" s="485">
        <v>155631.07</v>
      </c>
    </row>
    <row r="591" spans="1:2" x14ac:dyDescent="0.2">
      <c r="A591" s="272">
        <v>1620027020</v>
      </c>
      <c r="B591" s="485">
        <v>147145.74</v>
      </c>
    </row>
    <row r="592" spans="1:2" x14ac:dyDescent="0.2">
      <c r="A592" s="272">
        <v>1620027022</v>
      </c>
      <c r="B592" s="485">
        <v>571212.96</v>
      </c>
    </row>
    <row r="593" spans="1:2" x14ac:dyDescent="0.2">
      <c r="A593" s="272">
        <v>1620027023</v>
      </c>
      <c r="B593" s="485">
        <v>460803.74</v>
      </c>
    </row>
    <row r="594" spans="1:2" x14ac:dyDescent="0.2">
      <c r="A594" s="272">
        <v>1620027024</v>
      </c>
      <c r="B594" s="485">
        <v>415082.75</v>
      </c>
    </row>
    <row r="595" spans="1:2" x14ac:dyDescent="0.2">
      <c r="A595" s="272">
        <v>1620027025</v>
      </c>
      <c r="B595" s="485">
        <v>572111.4</v>
      </c>
    </row>
    <row r="596" spans="1:2" x14ac:dyDescent="0.2">
      <c r="A596" s="272">
        <v>1620027027</v>
      </c>
      <c r="B596" s="485">
        <v>231100.66</v>
      </c>
    </row>
    <row r="597" spans="1:2" x14ac:dyDescent="0.2">
      <c r="A597" s="272">
        <v>1620027028</v>
      </c>
      <c r="B597" s="485">
        <v>0</v>
      </c>
    </row>
    <row r="598" spans="1:2" x14ac:dyDescent="0.2">
      <c r="A598" s="272">
        <v>1620027029</v>
      </c>
      <c r="B598" s="485">
        <v>1796.9</v>
      </c>
    </row>
    <row r="599" spans="1:2" x14ac:dyDescent="0.2">
      <c r="A599" s="272">
        <v>1620027030</v>
      </c>
      <c r="B599" s="485">
        <v>175596.57</v>
      </c>
    </row>
    <row r="600" spans="1:2" x14ac:dyDescent="0.2">
      <c r="A600" s="272">
        <v>1620027031</v>
      </c>
      <c r="B600" s="485">
        <v>418377.05</v>
      </c>
    </row>
    <row r="601" spans="1:2" x14ac:dyDescent="0.2">
      <c r="A601" s="272">
        <v>1620027032</v>
      </c>
      <c r="B601" s="485">
        <v>473176.41</v>
      </c>
    </row>
    <row r="602" spans="1:2" x14ac:dyDescent="0.2">
      <c r="A602" s="272">
        <v>1620027033</v>
      </c>
      <c r="B602" s="485">
        <v>704283.01</v>
      </c>
    </row>
    <row r="603" spans="1:2" x14ac:dyDescent="0.2">
      <c r="A603" s="272">
        <v>1620027034</v>
      </c>
      <c r="B603" s="485">
        <v>89445.440000000002</v>
      </c>
    </row>
    <row r="604" spans="1:2" x14ac:dyDescent="0.2">
      <c r="A604" s="272">
        <v>1620027035</v>
      </c>
      <c r="B604" s="485">
        <v>617233.43000000005</v>
      </c>
    </row>
    <row r="605" spans="1:2" x14ac:dyDescent="0.2">
      <c r="A605" s="272">
        <v>1620027036</v>
      </c>
      <c r="B605" s="485">
        <v>217623.95</v>
      </c>
    </row>
    <row r="606" spans="1:2" x14ac:dyDescent="0.2">
      <c r="A606" s="272">
        <v>1620027037</v>
      </c>
      <c r="B606" s="485">
        <v>135665.57</v>
      </c>
    </row>
    <row r="607" spans="1:2" x14ac:dyDescent="0.2">
      <c r="A607" s="272">
        <v>1620027038</v>
      </c>
      <c r="B607" s="485">
        <v>244102.2</v>
      </c>
    </row>
    <row r="608" spans="1:2" x14ac:dyDescent="0.2">
      <c r="A608" s="272">
        <v>1620027039</v>
      </c>
      <c r="B608" s="485">
        <v>277919.76</v>
      </c>
    </row>
    <row r="609" spans="1:2" x14ac:dyDescent="0.2">
      <c r="A609" s="272">
        <v>1620027040</v>
      </c>
      <c r="B609" s="485">
        <v>137562.29999999999</v>
      </c>
    </row>
    <row r="610" spans="1:2" x14ac:dyDescent="0.2">
      <c r="A610" s="272">
        <v>1620027041</v>
      </c>
      <c r="B610" s="485">
        <v>216426.02</v>
      </c>
    </row>
    <row r="611" spans="1:2" x14ac:dyDescent="0.2">
      <c r="A611" s="272">
        <v>1620027043</v>
      </c>
      <c r="B611" s="485">
        <v>78464.42</v>
      </c>
    </row>
    <row r="612" spans="1:2" x14ac:dyDescent="0.2">
      <c r="A612" s="272">
        <v>1620027044</v>
      </c>
      <c r="B612" s="485">
        <v>183083.64</v>
      </c>
    </row>
    <row r="613" spans="1:2" x14ac:dyDescent="0.2">
      <c r="A613" s="272">
        <v>1620027045</v>
      </c>
      <c r="B613" s="485">
        <v>220419.12</v>
      </c>
    </row>
    <row r="614" spans="1:2" x14ac:dyDescent="0.2">
      <c r="A614" s="272">
        <v>1620027046</v>
      </c>
      <c r="B614" s="485">
        <v>89445.440000000002</v>
      </c>
    </row>
    <row r="615" spans="1:2" x14ac:dyDescent="0.2">
      <c r="A615" s="272">
        <v>1620027047</v>
      </c>
      <c r="B615" s="485">
        <v>331726.78000000003</v>
      </c>
    </row>
    <row r="616" spans="1:2" x14ac:dyDescent="0.2">
      <c r="A616" s="272">
        <v>1620027048</v>
      </c>
      <c r="B616" s="485">
        <v>239186.69</v>
      </c>
    </row>
    <row r="617" spans="1:2" x14ac:dyDescent="0.2">
      <c r="A617" s="272">
        <v>1620027049</v>
      </c>
      <c r="B617" s="485">
        <v>243678.93</v>
      </c>
    </row>
    <row r="618" spans="1:2" x14ac:dyDescent="0.2">
      <c r="A618" s="272">
        <v>1620027051</v>
      </c>
      <c r="B618" s="485">
        <v>287303.55</v>
      </c>
    </row>
    <row r="619" spans="1:2" x14ac:dyDescent="0.2">
      <c r="A619" s="272">
        <v>1620027052</v>
      </c>
      <c r="B619" s="485">
        <v>500235.6</v>
      </c>
    </row>
    <row r="620" spans="1:2" x14ac:dyDescent="0.2">
      <c r="A620" s="272">
        <v>1620027055</v>
      </c>
      <c r="B620" s="485">
        <v>222640.28</v>
      </c>
    </row>
    <row r="621" spans="1:2" x14ac:dyDescent="0.2">
      <c r="A621" s="272">
        <v>1620027056</v>
      </c>
      <c r="B621" s="485">
        <v>542861.94999999995</v>
      </c>
    </row>
    <row r="622" spans="1:2" x14ac:dyDescent="0.2">
      <c r="A622" s="272">
        <v>1620027058</v>
      </c>
      <c r="B622" s="485">
        <v>448524.96</v>
      </c>
    </row>
    <row r="623" spans="1:2" x14ac:dyDescent="0.2">
      <c r="A623" s="272">
        <v>1620027059</v>
      </c>
      <c r="B623" s="485">
        <v>450122.2</v>
      </c>
    </row>
    <row r="624" spans="1:2" x14ac:dyDescent="0.2">
      <c r="A624" s="272">
        <v>1620027061</v>
      </c>
      <c r="B624" s="485">
        <v>122089.03</v>
      </c>
    </row>
    <row r="625" spans="1:2" x14ac:dyDescent="0.2">
      <c r="A625" s="272">
        <v>1620027062</v>
      </c>
      <c r="B625" s="485">
        <v>22561.02</v>
      </c>
    </row>
    <row r="626" spans="1:2" x14ac:dyDescent="0.2">
      <c r="A626" s="272">
        <v>1620027063</v>
      </c>
      <c r="B626" s="485">
        <v>14275.33</v>
      </c>
    </row>
    <row r="627" spans="1:2" x14ac:dyDescent="0.2">
      <c r="A627" s="272">
        <v>1620027064</v>
      </c>
      <c r="B627" s="485">
        <v>12777.92</v>
      </c>
    </row>
    <row r="628" spans="1:2" x14ac:dyDescent="0.2">
      <c r="A628" s="272">
        <v>1620027065</v>
      </c>
      <c r="B628" s="485">
        <v>291396.46999999997</v>
      </c>
    </row>
    <row r="629" spans="1:2" x14ac:dyDescent="0.2">
      <c r="A629" s="272">
        <v>1620027066</v>
      </c>
      <c r="B629" s="485">
        <v>102822.33</v>
      </c>
    </row>
    <row r="630" spans="1:2" x14ac:dyDescent="0.2">
      <c r="A630" s="272">
        <v>1620027067</v>
      </c>
      <c r="B630" s="485">
        <v>16371.71</v>
      </c>
    </row>
    <row r="631" spans="1:2" x14ac:dyDescent="0.2">
      <c r="A631" s="272">
        <v>1620027069</v>
      </c>
      <c r="B631" s="485">
        <v>421371.88</v>
      </c>
    </row>
    <row r="632" spans="1:2" x14ac:dyDescent="0.2">
      <c r="A632" s="272">
        <v>1620027070</v>
      </c>
      <c r="B632" s="485">
        <v>104818.88</v>
      </c>
    </row>
    <row r="633" spans="1:2" x14ac:dyDescent="0.2">
      <c r="A633" s="272">
        <v>1620027072</v>
      </c>
      <c r="B633" s="485">
        <v>188773.8</v>
      </c>
    </row>
    <row r="634" spans="1:2" x14ac:dyDescent="0.2">
      <c r="A634" s="272">
        <v>1620027073</v>
      </c>
      <c r="B634" s="485">
        <v>251764.96</v>
      </c>
    </row>
    <row r="635" spans="1:2" x14ac:dyDescent="0.2">
      <c r="A635" s="272">
        <v>1620027074</v>
      </c>
      <c r="B635" s="485">
        <v>0</v>
      </c>
    </row>
    <row r="636" spans="1:2" x14ac:dyDescent="0.2">
      <c r="A636" s="272">
        <v>1620027075</v>
      </c>
      <c r="B636" s="485">
        <v>847635.3</v>
      </c>
    </row>
    <row r="637" spans="1:2" x14ac:dyDescent="0.2">
      <c r="A637" s="272">
        <v>1620027076</v>
      </c>
      <c r="B637" s="485">
        <v>434549.11</v>
      </c>
    </row>
    <row r="638" spans="1:2" x14ac:dyDescent="0.2">
      <c r="A638" s="272">
        <v>1620027077</v>
      </c>
      <c r="B638" s="485">
        <v>94935.95</v>
      </c>
    </row>
    <row r="639" spans="1:2" x14ac:dyDescent="0.2">
      <c r="A639" s="272">
        <v>1620027079</v>
      </c>
      <c r="B639" s="485">
        <v>100326.64</v>
      </c>
    </row>
    <row r="640" spans="1:2" x14ac:dyDescent="0.2">
      <c r="A640" s="272">
        <v>1620027080</v>
      </c>
      <c r="B640" s="485">
        <v>281014.40999999997</v>
      </c>
    </row>
    <row r="641" spans="1:2" x14ac:dyDescent="0.2">
      <c r="A641" s="272">
        <v>1620027081</v>
      </c>
      <c r="B641" s="485">
        <v>194334.99</v>
      </c>
    </row>
    <row r="642" spans="1:2" x14ac:dyDescent="0.2">
      <c r="A642" s="272">
        <v>1620027082</v>
      </c>
      <c r="B642" s="485">
        <v>218123.09</v>
      </c>
    </row>
    <row r="643" spans="1:2" x14ac:dyDescent="0.2">
      <c r="A643" s="272">
        <v>1620027083</v>
      </c>
      <c r="B643" s="485">
        <v>294191.64</v>
      </c>
    </row>
    <row r="644" spans="1:2" x14ac:dyDescent="0.2">
      <c r="A644" s="272">
        <v>1620027084</v>
      </c>
      <c r="B644" s="485">
        <v>207241.89</v>
      </c>
    </row>
    <row r="645" spans="1:2" x14ac:dyDescent="0.2">
      <c r="A645" s="272">
        <v>1620027085</v>
      </c>
      <c r="B645" s="485">
        <v>201551.72</v>
      </c>
    </row>
    <row r="646" spans="1:2" x14ac:dyDescent="0.2">
      <c r="A646" s="272">
        <v>1620027086</v>
      </c>
      <c r="B646" s="485">
        <v>125882.48</v>
      </c>
    </row>
    <row r="647" spans="1:2" x14ac:dyDescent="0.2">
      <c r="A647" s="272">
        <v>1620027088</v>
      </c>
      <c r="B647" s="485">
        <v>296787.15999999997</v>
      </c>
    </row>
    <row r="648" spans="1:2" x14ac:dyDescent="0.2">
      <c r="A648" s="272">
        <v>1620027089</v>
      </c>
      <c r="B648" s="485">
        <v>298486.21999999997</v>
      </c>
    </row>
    <row r="649" spans="1:2" x14ac:dyDescent="0.2">
      <c r="A649" s="272">
        <v>1620027090</v>
      </c>
      <c r="B649" s="485">
        <v>301678.71000000002</v>
      </c>
    </row>
    <row r="650" spans="1:2" x14ac:dyDescent="0.2">
      <c r="A650" s="272">
        <v>1620027091</v>
      </c>
      <c r="B650" s="485">
        <v>198856.38</v>
      </c>
    </row>
    <row r="651" spans="1:2" x14ac:dyDescent="0.2">
      <c r="A651" s="272">
        <v>1620027092</v>
      </c>
      <c r="B651" s="485">
        <v>441437.21</v>
      </c>
    </row>
    <row r="652" spans="1:2" x14ac:dyDescent="0.2">
      <c r="A652" s="272">
        <v>1620027093</v>
      </c>
      <c r="B652" s="485">
        <v>106416.12</v>
      </c>
    </row>
    <row r="653" spans="1:2" x14ac:dyDescent="0.2">
      <c r="A653" s="272">
        <v>1620027094</v>
      </c>
      <c r="B653" s="485">
        <v>657863.23</v>
      </c>
    </row>
    <row r="654" spans="1:2" x14ac:dyDescent="0.2">
      <c r="A654" s="272">
        <v>1620027096</v>
      </c>
      <c r="B654" s="485">
        <v>182384.84</v>
      </c>
    </row>
    <row r="655" spans="1:2" x14ac:dyDescent="0.2">
      <c r="A655" s="272">
        <v>1620027098</v>
      </c>
      <c r="B655" s="485">
        <v>235892.38</v>
      </c>
    </row>
    <row r="656" spans="1:2" x14ac:dyDescent="0.2">
      <c r="A656" s="272">
        <v>1620027099</v>
      </c>
      <c r="B656" s="485">
        <v>242980.14</v>
      </c>
    </row>
    <row r="657" spans="1:2" x14ac:dyDescent="0.2">
      <c r="A657" s="272">
        <v>1620027100</v>
      </c>
      <c r="B657" s="485">
        <v>253262.37</v>
      </c>
    </row>
    <row r="658" spans="1:2" x14ac:dyDescent="0.2">
      <c r="A658" s="272">
        <v>1620027101</v>
      </c>
      <c r="B658" s="485">
        <v>139259.35999999999</v>
      </c>
    </row>
    <row r="659" spans="1:2" x14ac:dyDescent="0.2">
      <c r="A659" s="272">
        <v>1620027102</v>
      </c>
      <c r="B659" s="485">
        <v>195861.56</v>
      </c>
    </row>
    <row r="660" spans="1:2" x14ac:dyDescent="0.2">
      <c r="A660" s="272">
        <v>1620027103</v>
      </c>
      <c r="B660" s="485">
        <v>104168.32000000001</v>
      </c>
    </row>
    <row r="661" spans="1:2" x14ac:dyDescent="0.2">
      <c r="A661" s="272">
        <v>1620027104</v>
      </c>
      <c r="B661" s="485">
        <v>94736.3</v>
      </c>
    </row>
    <row r="662" spans="1:2" x14ac:dyDescent="0.2">
      <c r="A662" s="272">
        <v>1620027106</v>
      </c>
      <c r="B662" s="485">
        <v>366167.27</v>
      </c>
    </row>
    <row r="663" spans="1:2" x14ac:dyDescent="0.2">
      <c r="A663" s="272">
        <v>1620027107</v>
      </c>
      <c r="B663" s="485">
        <v>244078.24</v>
      </c>
    </row>
    <row r="664" spans="1:2" x14ac:dyDescent="0.2">
      <c r="A664" s="272">
        <v>1620027108</v>
      </c>
      <c r="B664" s="485">
        <v>485660.79</v>
      </c>
    </row>
    <row r="665" spans="1:2" x14ac:dyDescent="0.2">
      <c r="A665" s="272">
        <v>1620027109</v>
      </c>
      <c r="B665" s="485">
        <v>447027.55</v>
      </c>
    </row>
    <row r="666" spans="1:2" x14ac:dyDescent="0.2">
      <c r="A666" s="272">
        <v>1620027110</v>
      </c>
      <c r="B666" s="485">
        <v>499309.7</v>
      </c>
    </row>
    <row r="667" spans="1:2" x14ac:dyDescent="0.2">
      <c r="A667" s="272">
        <v>1620027111</v>
      </c>
      <c r="B667" s="485">
        <v>291895.61</v>
      </c>
    </row>
    <row r="668" spans="1:2" x14ac:dyDescent="0.2">
      <c r="A668" s="272">
        <v>1620027112</v>
      </c>
      <c r="B668" s="485">
        <v>354287.8</v>
      </c>
    </row>
    <row r="669" spans="1:2" x14ac:dyDescent="0.2">
      <c r="A669" s="272">
        <v>1620027114</v>
      </c>
      <c r="B669" s="485">
        <v>238388.07</v>
      </c>
    </row>
    <row r="670" spans="1:2" x14ac:dyDescent="0.2">
      <c r="A670" s="272">
        <v>1620027115</v>
      </c>
      <c r="B670" s="485">
        <v>202450.17</v>
      </c>
    </row>
    <row r="671" spans="1:2" x14ac:dyDescent="0.2">
      <c r="A671" s="272">
        <v>1620027116</v>
      </c>
      <c r="B671" s="485">
        <v>243579.1</v>
      </c>
    </row>
    <row r="672" spans="1:2" x14ac:dyDescent="0.2">
      <c r="A672" s="272">
        <v>1620027117</v>
      </c>
      <c r="B672" s="485">
        <v>232398.42</v>
      </c>
    </row>
    <row r="673" spans="1:2" x14ac:dyDescent="0.2">
      <c r="A673" s="272">
        <v>1620027118</v>
      </c>
      <c r="B673" s="485">
        <v>335620.06</v>
      </c>
    </row>
    <row r="674" spans="1:2" x14ac:dyDescent="0.2">
      <c r="A674" s="272">
        <v>1620027119</v>
      </c>
      <c r="B674" s="485">
        <v>573968.44999999995</v>
      </c>
    </row>
    <row r="675" spans="1:2" x14ac:dyDescent="0.2">
      <c r="A675" s="272">
        <v>1620027120</v>
      </c>
      <c r="B675" s="485">
        <v>417179.12</v>
      </c>
    </row>
    <row r="676" spans="1:2" x14ac:dyDescent="0.2">
      <c r="A676" s="272">
        <v>1620027121</v>
      </c>
      <c r="B676" s="485">
        <v>0</v>
      </c>
    </row>
    <row r="677" spans="1:2" x14ac:dyDescent="0.2">
      <c r="A677" s="272">
        <v>1620027122</v>
      </c>
      <c r="B677" s="485">
        <v>357482.28</v>
      </c>
    </row>
    <row r="678" spans="1:2" x14ac:dyDescent="0.2">
      <c r="A678" s="272">
        <v>1620027123</v>
      </c>
      <c r="B678" s="485">
        <v>402803.96</v>
      </c>
    </row>
    <row r="679" spans="1:2" x14ac:dyDescent="0.2">
      <c r="A679" s="272">
        <v>1620027124</v>
      </c>
      <c r="B679" s="485">
        <v>129076.96</v>
      </c>
    </row>
    <row r="680" spans="1:2" x14ac:dyDescent="0.2">
      <c r="A680" s="272">
        <v>1620027125</v>
      </c>
      <c r="B680" s="485">
        <v>387630.18</v>
      </c>
    </row>
    <row r="681" spans="1:2" x14ac:dyDescent="0.2">
      <c r="A681" s="272">
        <v>1620027126</v>
      </c>
      <c r="B681" s="485">
        <v>382938.29</v>
      </c>
    </row>
    <row r="682" spans="1:2" x14ac:dyDescent="0.2">
      <c r="A682" s="272">
        <v>1620027127</v>
      </c>
      <c r="B682" s="485">
        <v>160123.31</v>
      </c>
    </row>
    <row r="683" spans="1:2" x14ac:dyDescent="0.2">
      <c r="A683" s="272">
        <v>1620027128</v>
      </c>
      <c r="B683" s="485">
        <v>312659.73</v>
      </c>
    </row>
    <row r="684" spans="1:2" x14ac:dyDescent="0.2">
      <c r="A684" s="272">
        <v>1620027129</v>
      </c>
      <c r="B684" s="485">
        <v>123087.31</v>
      </c>
    </row>
    <row r="685" spans="1:2" x14ac:dyDescent="0.2">
      <c r="A685" s="272">
        <v>1620027130</v>
      </c>
      <c r="B685" s="485">
        <v>265640.98</v>
      </c>
    </row>
    <row r="686" spans="1:2" x14ac:dyDescent="0.2">
      <c r="A686" s="272">
        <v>1620027131</v>
      </c>
      <c r="B686" s="485">
        <v>90443.72</v>
      </c>
    </row>
    <row r="687" spans="1:2" x14ac:dyDescent="0.2">
      <c r="A687" s="272">
        <v>1620027132</v>
      </c>
      <c r="B687" s="485">
        <v>334921.26</v>
      </c>
    </row>
    <row r="688" spans="1:2" x14ac:dyDescent="0.2">
      <c r="A688" s="272">
        <v>1620027133</v>
      </c>
      <c r="B688" s="485">
        <v>122288.69</v>
      </c>
    </row>
    <row r="689" spans="1:2" x14ac:dyDescent="0.2">
      <c r="A689" s="272">
        <v>1620027134</v>
      </c>
      <c r="B689" s="485">
        <v>528087.48</v>
      </c>
    </row>
    <row r="690" spans="1:2" x14ac:dyDescent="0.2">
      <c r="A690" s="272">
        <v>1620027135</v>
      </c>
      <c r="B690" s="485">
        <v>519602.14</v>
      </c>
    </row>
    <row r="691" spans="1:2" x14ac:dyDescent="0.2">
      <c r="A691" s="272">
        <v>1620027136</v>
      </c>
      <c r="B691" s="485">
        <v>235692.73</v>
      </c>
    </row>
    <row r="692" spans="1:2" x14ac:dyDescent="0.2">
      <c r="A692" s="272">
        <v>1620027137</v>
      </c>
      <c r="B692" s="485">
        <v>154932.28</v>
      </c>
    </row>
    <row r="693" spans="1:2" x14ac:dyDescent="0.2">
      <c r="A693" s="272">
        <v>1620027138</v>
      </c>
      <c r="B693" s="485">
        <v>1796.9</v>
      </c>
    </row>
    <row r="694" spans="1:2" x14ac:dyDescent="0.2">
      <c r="A694" s="272">
        <v>1620027139</v>
      </c>
      <c r="B694" s="485">
        <v>9683.27</v>
      </c>
    </row>
    <row r="695" spans="1:2" x14ac:dyDescent="0.2">
      <c r="A695" s="272">
        <v>1620027140</v>
      </c>
      <c r="B695" s="485">
        <v>536672.64</v>
      </c>
    </row>
    <row r="696" spans="1:2" x14ac:dyDescent="0.2">
      <c r="A696" s="272">
        <v>1620027141</v>
      </c>
      <c r="B696" s="485">
        <v>510517.84</v>
      </c>
    </row>
    <row r="697" spans="1:2" x14ac:dyDescent="0.2">
      <c r="A697" s="272">
        <v>1620027142</v>
      </c>
      <c r="B697" s="485">
        <v>0</v>
      </c>
    </row>
    <row r="698" spans="1:2" x14ac:dyDescent="0.2">
      <c r="A698" s="272">
        <v>1620027144</v>
      </c>
      <c r="B698" s="485">
        <v>215827.06</v>
      </c>
    </row>
    <row r="699" spans="1:2" x14ac:dyDescent="0.2">
      <c r="A699" s="272">
        <v>1620027146</v>
      </c>
      <c r="B699" s="485">
        <v>198457.07</v>
      </c>
    </row>
    <row r="700" spans="1:2" x14ac:dyDescent="0.2">
      <c r="A700" s="272">
        <v>1620027147</v>
      </c>
      <c r="B700" s="485">
        <v>88247.51</v>
      </c>
    </row>
    <row r="701" spans="1:2" x14ac:dyDescent="0.2">
      <c r="A701" s="272">
        <v>1620027148</v>
      </c>
      <c r="B701" s="485">
        <v>221217.74</v>
      </c>
    </row>
    <row r="702" spans="1:2" x14ac:dyDescent="0.2">
      <c r="A702" s="272">
        <v>1620027149</v>
      </c>
      <c r="B702" s="485">
        <v>94935.95</v>
      </c>
    </row>
    <row r="703" spans="1:2" x14ac:dyDescent="0.2">
      <c r="A703" s="272">
        <v>1620027150</v>
      </c>
      <c r="B703" s="485">
        <v>377048.47</v>
      </c>
    </row>
    <row r="704" spans="1:2" x14ac:dyDescent="0.2">
      <c r="A704" s="272">
        <v>1620027151</v>
      </c>
      <c r="B704" s="485">
        <v>256481.8</v>
      </c>
    </row>
    <row r="705" spans="1:2" x14ac:dyDescent="0.2">
      <c r="A705" s="272">
        <v>1620027152</v>
      </c>
      <c r="B705" s="485">
        <v>206443.27</v>
      </c>
    </row>
    <row r="706" spans="1:2" x14ac:dyDescent="0.2">
      <c r="A706" s="272">
        <v>1620027153</v>
      </c>
      <c r="B706" s="485">
        <v>229203.94</v>
      </c>
    </row>
    <row r="707" spans="1:2" x14ac:dyDescent="0.2">
      <c r="A707" s="272">
        <v>1620027154</v>
      </c>
      <c r="B707" s="485">
        <v>189672.25</v>
      </c>
    </row>
    <row r="708" spans="1:2" x14ac:dyDescent="0.2">
      <c r="A708" s="272">
        <v>1620027155</v>
      </c>
      <c r="B708" s="485">
        <v>0</v>
      </c>
    </row>
    <row r="709" spans="1:2" x14ac:dyDescent="0.2">
      <c r="A709" s="272">
        <v>1620027156</v>
      </c>
      <c r="B709" s="485">
        <v>214229.82</v>
      </c>
    </row>
    <row r="710" spans="1:2" x14ac:dyDescent="0.2">
      <c r="A710" s="272">
        <v>1620027157</v>
      </c>
      <c r="B710" s="485">
        <v>0</v>
      </c>
    </row>
    <row r="711" spans="1:2" x14ac:dyDescent="0.2">
      <c r="A711" s="272">
        <v>1620027158</v>
      </c>
      <c r="B711" s="485">
        <v>295788.88</v>
      </c>
    </row>
    <row r="712" spans="1:2" x14ac:dyDescent="0.2">
      <c r="A712" s="272">
        <v>1620027159</v>
      </c>
      <c r="B712" s="485">
        <v>0</v>
      </c>
    </row>
    <row r="713" spans="1:2" x14ac:dyDescent="0.2">
      <c r="A713" s="272">
        <v>1620027160</v>
      </c>
      <c r="B713" s="485">
        <v>269434.42</v>
      </c>
    </row>
    <row r="714" spans="1:2" x14ac:dyDescent="0.2">
      <c r="A714" s="272">
        <v>1620027161</v>
      </c>
      <c r="B714" s="485">
        <v>260749.43</v>
      </c>
    </row>
    <row r="715" spans="1:2" x14ac:dyDescent="0.2">
      <c r="A715" s="272">
        <v>1620027162</v>
      </c>
      <c r="B715" s="485">
        <v>196260.87</v>
      </c>
    </row>
    <row r="716" spans="1:2" x14ac:dyDescent="0.2">
      <c r="A716" s="272">
        <v>1620027163</v>
      </c>
      <c r="B716" s="485">
        <v>236890.66</v>
      </c>
    </row>
    <row r="717" spans="1:2" x14ac:dyDescent="0.2">
      <c r="A717" s="272">
        <v>1620027165</v>
      </c>
      <c r="B717" s="485">
        <v>448924.27</v>
      </c>
    </row>
    <row r="718" spans="1:2" x14ac:dyDescent="0.2">
      <c r="A718" s="272">
        <v>1620027166</v>
      </c>
      <c r="B718" s="485">
        <v>248869.96</v>
      </c>
    </row>
    <row r="719" spans="1:2" x14ac:dyDescent="0.2">
      <c r="A719" s="272">
        <v>1620027167</v>
      </c>
      <c r="B719" s="485">
        <v>249169.44</v>
      </c>
    </row>
    <row r="720" spans="1:2" x14ac:dyDescent="0.2">
      <c r="A720" s="272">
        <v>1620027168</v>
      </c>
      <c r="B720" s="485">
        <v>249868.23</v>
      </c>
    </row>
    <row r="721" spans="1:2" x14ac:dyDescent="0.2">
      <c r="A721" s="272">
        <v>1620027169</v>
      </c>
      <c r="B721" s="485">
        <v>104120.08</v>
      </c>
    </row>
    <row r="722" spans="1:2" x14ac:dyDescent="0.2">
      <c r="A722" s="272">
        <v>1620027170</v>
      </c>
      <c r="B722" s="485">
        <v>183283.29</v>
      </c>
    </row>
    <row r="723" spans="1:2" x14ac:dyDescent="0.2">
      <c r="A723" s="272">
        <v>1620027171</v>
      </c>
      <c r="B723" s="485">
        <v>92440.27</v>
      </c>
    </row>
    <row r="724" spans="1:2" x14ac:dyDescent="0.2">
      <c r="A724" s="272">
        <v>1620027172</v>
      </c>
      <c r="B724" s="485">
        <v>180088.81</v>
      </c>
    </row>
    <row r="725" spans="1:2" x14ac:dyDescent="0.2">
      <c r="A725" s="272">
        <v>1620027173</v>
      </c>
      <c r="B725" s="485">
        <v>50412.89</v>
      </c>
    </row>
    <row r="726" spans="1:2" x14ac:dyDescent="0.2">
      <c r="A726" s="272">
        <v>1620027174</v>
      </c>
      <c r="B726" s="485">
        <v>179988.98</v>
      </c>
    </row>
    <row r="727" spans="1:2" x14ac:dyDescent="0.2">
      <c r="A727" s="272">
        <v>1620027175</v>
      </c>
      <c r="B727" s="485">
        <v>207541.37</v>
      </c>
    </row>
    <row r="728" spans="1:2" x14ac:dyDescent="0.2">
      <c r="A728" s="272">
        <v>1620027176</v>
      </c>
      <c r="B728" s="485">
        <v>125183.69</v>
      </c>
    </row>
    <row r="729" spans="1:2" x14ac:dyDescent="0.2">
      <c r="A729" s="272">
        <v>1620027178</v>
      </c>
      <c r="B729" s="485">
        <v>49214.96</v>
      </c>
    </row>
    <row r="730" spans="1:2" x14ac:dyDescent="0.2">
      <c r="A730" s="272">
        <v>1620027179</v>
      </c>
      <c r="B730" s="485">
        <v>109311.11</v>
      </c>
    </row>
    <row r="731" spans="1:2" x14ac:dyDescent="0.2">
      <c r="A731" s="272">
        <v>1620027180</v>
      </c>
      <c r="B731" s="485">
        <v>88047.86</v>
      </c>
    </row>
    <row r="732" spans="1:2" x14ac:dyDescent="0.2">
      <c r="A732" s="272">
        <v>1620027181</v>
      </c>
      <c r="B732" s="485">
        <v>0</v>
      </c>
    </row>
    <row r="733" spans="1:2" x14ac:dyDescent="0.2">
      <c r="A733" s="272">
        <v>1620027182</v>
      </c>
      <c r="B733" s="485">
        <v>399809.14</v>
      </c>
    </row>
    <row r="734" spans="1:2" x14ac:dyDescent="0.2">
      <c r="A734" s="272">
        <v>1620027183</v>
      </c>
      <c r="B734" s="485">
        <v>259080.22</v>
      </c>
    </row>
    <row r="735" spans="1:2" x14ac:dyDescent="0.2">
      <c r="A735" s="272">
        <v>1620027184</v>
      </c>
      <c r="B735" s="485">
        <v>63090.98</v>
      </c>
    </row>
    <row r="736" spans="1:2" x14ac:dyDescent="0.2">
      <c r="A736" s="272">
        <v>1620027185</v>
      </c>
      <c r="B736" s="485">
        <v>115200.94</v>
      </c>
    </row>
    <row r="737" spans="1:2" x14ac:dyDescent="0.2">
      <c r="A737" s="272">
        <v>1620027186</v>
      </c>
      <c r="B737" s="485">
        <v>165114.69</v>
      </c>
    </row>
    <row r="738" spans="1:2" x14ac:dyDescent="0.2">
      <c r="A738" s="272">
        <v>1620027187</v>
      </c>
      <c r="B738" s="485">
        <v>162020.03</v>
      </c>
    </row>
    <row r="739" spans="1:2" x14ac:dyDescent="0.2">
      <c r="A739" s="272">
        <v>1620027188</v>
      </c>
      <c r="B739" s="485">
        <v>361076.07</v>
      </c>
    </row>
    <row r="740" spans="1:2" x14ac:dyDescent="0.2">
      <c r="A740" s="272">
        <v>1620027189</v>
      </c>
      <c r="B740" s="485">
        <v>206043.96</v>
      </c>
    </row>
    <row r="741" spans="1:2" x14ac:dyDescent="0.2">
      <c r="A741" s="272">
        <v>1620027190</v>
      </c>
      <c r="B741" s="485">
        <v>28251.18</v>
      </c>
    </row>
    <row r="742" spans="1:2" x14ac:dyDescent="0.2">
      <c r="A742" s="272">
        <v>1620027191</v>
      </c>
      <c r="B742" s="485">
        <v>242780.48</v>
      </c>
    </row>
    <row r="743" spans="1:2" x14ac:dyDescent="0.2">
      <c r="A743" s="272">
        <v>1620027192</v>
      </c>
      <c r="B743" s="485">
        <v>64788.05</v>
      </c>
    </row>
    <row r="744" spans="1:2" x14ac:dyDescent="0.2">
      <c r="A744" s="272">
        <v>1620027193</v>
      </c>
      <c r="B744" s="485">
        <v>2395.86</v>
      </c>
    </row>
    <row r="745" spans="1:2" x14ac:dyDescent="0.2">
      <c r="A745" s="272">
        <v>1620027194</v>
      </c>
      <c r="B745" s="485">
        <v>92140.78</v>
      </c>
    </row>
    <row r="746" spans="1:2" x14ac:dyDescent="0.2">
      <c r="A746" s="272">
        <v>1620027195</v>
      </c>
      <c r="B746" s="485">
        <v>126481.44</v>
      </c>
    </row>
    <row r="747" spans="1:2" x14ac:dyDescent="0.2">
      <c r="A747" s="272">
        <v>1620027197</v>
      </c>
      <c r="B747" s="485">
        <v>74471.320000000007</v>
      </c>
    </row>
    <row r="748" spans="1:2" x14ac:dyDescent="0.2">
      <c r="A748" s="272">
        <v>1620027198</v>
      </c>
      <c r="B748" s="485">
        <v>296387.84999999998</v>
      </c>
    </row>
    <row r="749" spans="1:2" x14ac:dyDescent="0.2">
      <c r="A749" s="272">
        <v>1620027199</v>
      </c>
      <c r="B749" s="485">
        <v>29049.8</v>
      </c>
    </row>
    <row r="750" spans="1:2" x14ac:dyDescent="0.2">
      <c r="A750" s="272">
        <v>1620027200</v>
      </c>
      <c r="B750" s="485">
        <v>38533.42</v>
      </c>
    </row>
    <row r="751" spans="1:2" x14ac:dyDescent="0.2">
      <c r="A751" s="272">
        <v>1620027201</v>
      </c>
      <c r="B751" s="485">
        <v>55504.09</v>
      </c>
    </row>
    <row r="752" spans="1:2" x14ac:dyDescent="0.2">
      <c r="A752" s="272">
        <v>1620027202</v>
      </c>
      <c r="B752" s="485">
        <v>0</v>
      </c>
    </row>
    <row r="753" spans="1:2" x14ac:dyDescent="0.2">
      <c r="A753" s="272">
        <v>1620027203</v>
      </c>
      <c r="B753" s="485">
        <v>79163.210000000006</v>
      </c>
    </row>
    <row r="754" spans="1:2" x14ac:dyDescent="0.2">
      <c r="A754" s="272">
        <v>1620027204</v>
      </c>
      <c r="B754" s="485">
        <v>24058.43</v>
      </c>
    </row>
    <row r="755" spans="1:2" x14ac:dyDescent="0.2">
      <c r="A755" s="272">
        <v>1620027205</v>
      </c>
      <c r="B755" s="485">
        <v>24357.91</v>
      </c>
    </row>
    <row r="756" spans="1:2" x14ac:dyDescent="0.2">
      <c r="A756" s="272">
        <v>1620027206</v>
      </c>
      <c r="B756" s="485">
        <v>44423.24</v>
      </c>
    </row>
    <row r="757" spans="1:2" x14ac:dyDescent="0.2">
      <c r="A757" s="272">
        <v>1620027208</v>
      </c>
      <c r="B757" s="485">
        <v>74670.97</v>
      </c>
    </row>
    <row r="758" spans="1:2" x14ac:dyDescent="0.2">
      <c r="A758" s="272">
        <v>1620027209</v>
      </c>
      <c r="B758" s="485">
        <v>0</v>
      </c>
    </row>
    <row r="759" spans="1:2" x14ac:dyDescent="0.2">
      <c r="A759" s="272">
        <v>1620027210</v>
      </c>
      <c r="B759" s="485">
        <v>27951.7</v>
      </c>
    </row>
    <row r="760" spans="1:2" x14ac:dyDescent="0.2">
      <c r="A760" s="272">
        <v>1620027211</v>
      </c>
      <c r="B760" s="485">
        <v>0</v>
      </c>
    </row>
    <row r="761" spans="1:2" x14ac:dyDescent="0.2">
      <c r="A761" s="272">
        <v>1620027212</v>
      </c>
      <c r="B761" s="485">
        <v>0</v>
      </c>
    </row>
    <row r="762" spans="1:2" x14ac:dyDescent="0.2">
      <c r="A762" s="272">
        <v>1620027213</v>
      </c>
      <c r="B762" s="485">
        <v>0</v>
      </c>
    </row>
    <row r="763" spans="1:2" x14ac:dyDescent="0.2">
      <c r="A763" s="272">
        <v>1620027214</v>
      </c>
      <c r="B763" s="485">
        <v>10781.37</v>
      </c>
    </row>
    <row r="764" spans="1:2" x14ac:dyDescent="0.2">
      <c r="A764" s="272">
        <v>1620027990</v>
      </c>
      <c r="B764" s="485">
        <v>290198.53999999998</v>
      </c>
    </row>
    <row r="765" spans="1:2" x14ac:dyDescent="0.2">
      <c r="A765" s="272">
        <v>1620027991</v>
      </c>
      <c r="B765" s="485">
        <v>247412.18</v>
      </c>
    </row>
    <row r="766" spans="1:2" x14ac:dyDescent="0.2">
      <c r="A766" s="272">
        <v>1620027993</v>
      </c>
      <c r="B766" s="485">
        <v>131377.21</v>
      </c>
    </row>
    <row r="767" spans="1:2" x14ac:dyDescent="0.2">
      <c r="A767" s="272">
        <v>1620027994</v>
      </c>
      <c r="B767" s="485">
        <v>208739.3</v>
      </c>
    </row>
    <row r="768" spans="1:2" x14ac:dyDescent="0.2">
      <c r="A768" s="272">
        <v>1620027995</v>
      </c>
      <c r="B768" s="485">
        <v>219420.85</v>
      </c>
    </row>
    <row r="769" spans="1:2" x14ac:dyDescent="0.2">
      <c r="A769" s="272">
        <v>1620027996</v>
      </c>
      <c r="B769" s="485">
        <v>132970.23000000001</v>
      </c>
    </row>
    <row r="770" spans="1:2" x14ac:dyDescent="0.2">
      <c r="A770" s="272">
        <v>1620027997</v>
      </c>
      <c r="B770" s="485">
        <v>375351.4</v>
      </c>
    </row>
    <row r="771" spans="1:2" x14ac:dyDescent="0.2">
      <c r="A771" s="272">
        <v>1620027998</v>
      </c>
      <c r="B771" s="485">
        <v>81059.929999999993</v>
      </c>
    </row>
    <row r="772" spans="1:2" x14ac:dyDescent="0.2">
      <c r="A772" s="272">
        <v>1620027999</v>
      </c>
      <c r="B772" s="485">
        <v>499.14</v>
      </c>
    </row>
    <row r="773" spans="1:2" x14ac:dyDescent="0.2">
      <c r="A773" s="272">
        <v>1620028000</v>
      </c>
      <c r="B773" s="485">
        <v>216126.54</v>
      </c>
    </row>
    <row r="774" spans="1:2" x14ac:dyDescent="0.2">
      <c r="A774" s="272">
        <v>1620028001</v>
      </c>
      <c r="B774" s="485">
        <v>147345.39000000001</v>
      </c>
    </row>
    <row r="775" spans="1:2" x14ac:dyDescent="0.2">
      <c r="A775" s="272">
        <v>1620028002</v>
      </c>
      <c r="B775" s="485">
        <v>98805.99</v>
      </c>
    </row>
    <row r="776" spans="1:2" x14ac:dyDescent="0.2">
      <c r="A776" s="272">
        <v>1620028003</v>
      </c>
      <c r="B776" s="485">
        <v>134168.16</v>
      </c>
    </row>
    <row r="777" spans="1:2" x14ac:dyDescent="0.2">
      <c r="A777" s="272">
        <v>1620028004</v>
      </c>
      <c r="B777" s="485">
        <v>234494.8</v>
      </c>
    </row>
    <row r="778" spans="1:2" x14ac:dyDescent="0.2">
      <c r="A778" s="272">
        <v>1620028005</v>
      </c>
      <c r="B778" s="485">
        <v>124984.03</v>
      </c>
    </row>
    <row r="779" spans="1:2" x14ac:dyDescent="0.2">
      <c r="A779" s="272">
        <v>1620028006</v>
      </c>
      <c r="B779" s="485">
        <v>139658.67000000001</v>
      </c>
    </row>
    <row r="780" spans="1:2" x14ac:dyDescent="0.2">
      <c r="A780" s="272">
        <v>1620028007</v>
      </c>
      <c r="B780" s="485">
        <v>89944.58</v>
      </c>
    </row>
    <row r="781" spans="1:2" x14ac:dyDescent="0.2">
      <c r="A781" s="272">
        <v>1620028009</v>
      </c>
      <c r="B781" s="485">
        <v>151039.1</v>
      </c>
    </row>
    <row r="782" spans="1:2" x14ac:dyDescent="0.2">
      <c r="A782" s="272">
        <v>1620028010</v>
      </c>
      <c r="B782" s="485">
        <v>32344.11</v>
      </c>
    </row>
    <row r="783" spans="1:2" x14ac:dyDescent="0.2">
      <c r="A783" s="272">
        <v>1620028011</v>
      </c>
      <c r="B783" s="485">
        <v>22461.19</v>
      </c>
    </row>
    <row r="784" spans="1:2" x14ac:dyDescent="0.2">
      <c r="A784" s="272">
        <v>1620028012</v>
      </c>
      <c r="B784" s="485">
        <v>49414.61</v>
      </c>
    </row>
    <row r="785" spans="1:2" x14ac:dyDescent="0.2">
      <c r="A785" s="272">
        <v>1620028013</v>
      </c>
      <c r="B785" s="485">
        <v>16980.73</v>
      </c>
    </row>
    <row r="786" spans="1:2" x14ac:dyDescent="0.2">
      <c r="A786" s="272">
        <v>1620028014</v>
      </c>
      <c r="B786" s="485">
        <v>44722.720000000001</v>
      </c>
    </row>
    <row r="787" spans="1:2" x14ac:dyDescent="0.2">
      <c r="A787" s="272">
        <v>1620028015</v>
      </c>
      <c r="B787" s="485">
        <v>0</v>
      </c>
    </row>
    <row r="788" spans="1:2" x14ac:dyDescent="0.2">
      <c r="A788" s="272">
        <v>1620028017</v>
      </c>
      <c r="B788" s="485">
        <v>110733.65</v>
      </c>
    </row>
    <row r="789" spans="1:2" x14ac:dyDescent="0.2">
      <c r="A789" s="272">
        <v>1620028018</v>
      </c>
      <c r="B789" s="485">
        <v>0</v>
      </c>
    </row>
    <row r="790" spans="1:2" x14ac:dyDescent="0.2">
      <c r="A790" s="272">
        <v>1620028019</v>
      </c>
      <c r="B790" s="485">
        <v>179737.53</v>
      </c>
    </row>
    <row r="791" spans="1:2" x14ac:dyDescent="0.2">
      <c r="A791" s="272">
        <v>1620028020</v>
      </c>
      <c r="B791" s="485">
        <v>31944.799999999999</v>
      </c>
    </row>
    <row r="792" spans="1:2" x14ac:dyDescent="0.2">
      <c r="A792" s="272">
        <v>1620028021</v>
      </c>
      <c r="B792" s="485">
        <v>121248.35</v>
      </c>
    </row>
    <row r="793" spans="1:2" x14ac:dyDescent="0.2">
      <c r="A793" s="272">
        <v>1620028022</v>
      </c>
      <c r="B793" s="485">
        <v>4170.71</v>
      </c>
    </row>
    <row r="794" spans="1:2" x14ac:dyDescent="0.2">
      <c r="A794" s="272">
        <v>1620028023</v>
      </c>
      <c r="B794" s="485">
        <v>21562.74</v>
      </c>
    </row>
    <row r="795" spans="1:2" x14ac:dyDescent="0.2">
      <c r="A795" s="272">
        <v>1620028024</v>
      </c>
      <c r="B795" s="485">
        <v>65586.67</v>
      </c>
    </row>
    <row r="796" spans="1:2" x14ac:dyDescent="0.2">
      <c r="A796" s="272">
        <v>1620028025</v>
      </c>
      <c r="B796" s="485">
        <v>19860.5</v>
      </c>
    </row>
    <row r="797" spans="1:2" x14ac:dyDescent="0.2">
      <c r="A797" s="272">
        <v>1620028026</v>
      </c>
      <c r="B797" s="485">
        <v>110325.08</v>
      </c>
    </row>
    <row r="798" spans="1:2" x14ac:dyDescent="0.2">
      <c r="A798" s="272">
        <v>1620028027</v>
      </c>
      <c r="B798" s="485">
        <v>144749.88</v>
      </c>
    </row>
    <row r="799" spans="1:2" x14ac:dyDescent="0.2">
      <c r="A799" s="272">
        <v>1620028028</v>
      </c>
      <c r="B799" s="485">
        <v>25156.53</v>
      </c>
    </row>
    <row r="800" spans="1:2" x14ac:dyDescent="0.2">
      <c r="A800" s="272">
        <v>1620028029</v>
      </c>
      <c r="B800" s="485">
        <v>147744.70000000001</v>
      </c>
    </row>
    <row r="801" spans="1:2" x14ac:dyDescent="0.2">
      <c r="A801" s="272">
        <v>1620028030</v>
      </c>
      <c r="B801" s="485">
        <v>0</v>
      </c>
    </row>
    <row r="802" spans="1:2" x14ac:dyDescent="0.2">
      <c r="A802" s="272">
        <v>1620028031</v>
      </c>
      <c r="B802" s="485">
        <v>24457.74</v>
      </c>
    </row>
    <row r="803" spans="1:2" x14ac:dyDescent="0.2">
      <c r="A803" s="272">
        <v>1620028032</v>
      </c>
      <c r="B803" s="485">
        <v>142753.32999999999</v>
      </c>
    </row>
    <row r="804" spans="1:2" x14ac:dyDescent="0.2">
      <c r="A804" s="272">
        <v>1620028033</v>
      </c>
      <c r="B804" s="485">
        <v>12777.92</v>
      </c>
    </row>
    <row r="805" spans="1:2" x14ac:dyDescent="0.2">
      <c r="A805" s="272">
        <v>1620028034</v>
      </c>
      <c r="B805" s="485">
        <v>112807.64</v>
      </c>
    </row>
    <row r="806" spans="1:2" x14ac:dyDescent="0.2">
      <c r="A806" s="272">
        <v>1620028035</v>
      </c>
      <c r="B806" s="485">
        <v>5989.65</v>
      </c>
    </row>
    <row r="807" spans="1:2" x14ac:dyDescent="0.2">
      <c r="A807" s="272">
        <v>1620028036</v>
      </c>
      <c r="B807" s="485">
        <v>0</v>
      </c>
    </row>
    <row r="808" spans="1:2" x14ac:dyDescent="0.2">
      <c r="A808" s="272">
        <v>1620028037</v>
      </c>
      <c r="B808" s="485">
        <v>15888.4</v>
      </c>
    </row>
    <row r="809" spans="1:2" x14ac:dyDescent="0.2">
      <c r="A809" s="272">
        <v>1620028038</v>
      </c>
      <c r="B809" s="485">
        <v>3593.79</v>
      </c>
    </row>
    <row r="810" spans="1:2" x14ac:dyDescent="0.2">
      <c r="A810" s="272">
        <v>1620028039</v>
      </c>
      <c r="B810" s="485">
        <v>0</v>
      </c>
    </row>
    <row r="811" spans="1:2" x14ac:dyDescent="0.2">
      <c r="A811" s="272">
        <v>1620028040</v>
      </c>
      <c r="B811" s="485">
        <v>3475.59</v>
      </c>
    </row>
    <row r="812" spans="1:2" x14ac:dyDescent="0.2">
      <c r="A812" s="272">
        <v>1620028041</v>
      </c>
      <c r="B812" s="485">
        <v>5690.17</v>
      </c>
    </row>
    <row r="813" spans="1:2" x14ac:dyDescent="0.2">
      <c r="A813" s="272">
        <v>1620028042</v>
      </c>
      <c r="B813" s="485">
        <v>4766.5200000000004</v>
      </c>
    </row>
    <row r="814" spans="1:2" x14ac:dyDescent="0.2">
      <c r="A814" s="272">
        <v>1620028043</v>
      </c>
      <c r="B814" s="485">
        <v>0</v>
      </c>
    </row>
    <row r="815" spans="1:2" x14ac:dyDescent="0.2">
      <c r="A815" s="272">
        <v>1620028044</v>
      </c>
      <c r="B815" s="485">
        <v>0</v>
      </c>
    </row>
    <row r="816" spans="1:2" x14ac:dyDescent="0.2">
      <c r="A816" s="272">
        <v>1620028045</v>
      </c>
      <c r="B816" s="485">
        <v>65837.56</v>
      </c>
    </row>
    <row r="817" spans="1:2" x14ac:dyDescent="0.2">
      <c r="A817" s="272">
        <v>1620028046</v>
      </c>
      <c r="B817" s="485">
        <v>159025.21</v>
      </c>
    </row>
    <row r="818" spans="1:2" x14ac:dyDescent="0.2">
      <c r="A818" s="272">
        <v>1620028047</v>
      </c>
      <c r="B818" s="485">
        <v>80061.66</v>
      </c>
    </row>
    <row r="819" spans="1:2" x14ac:dyDescent="0.2">
      <c r="A819" s="272">
        <v>1620028048</v>
      </c>
      <c r="B819" s="485">
        <v>0</v>
      </c>
    </row>
    <row r="820" spans="1:2" x14ac:dyDescent="0.2">
      <c r="A820" s="272">
        <v>1620028049</v>
      </c>
      <c r="B820" s="485">
        <v>0</v>
      </c>
    </row>
    <row r="821" spans="1:2" x14ac:dyDescent="0.2">
      <c r="A821" s="272">
        <v>1620028050</v>
      </c>
      <c r="B821" s="485">
        <v>7944.2</v>
      </c>
    </row>
    <row r="822" spans="1:2" x14ac:dyDescent="0.2">
      <c r="A822" s="272">
        <v>1620028051</v>
      </c>
      <c r="B822" s="485">
        <v>20364.810000000001</v>
      </c>
    </row>
    <row r="823" spans="1:2" x14ac:dyDescent="0.2">
      <c r="A823" s="272">
        <v>1620028052</v>
      </c>
      <c r="B823" s="485">
        <v>144187.23000000001</v>
      </c>
    </row>
    <row r="824" spans="1:2" x14ac:dyDescent="0.2">
      <c r="A824" s="272">
        <v>1620028053</v>
      </c>
      <c r="B824" s="485">
        <v>7686.72</v>
      </c>
    </row>
    <row r="825" spans="1:2" x14ac:dyDescent="0.2">
      <c r="A825" s="272">
        <v>1620028054</v>
      </c>
      <c r="B825" s="485">
        <v>8937.23</v>
      </c>
    </row>
    <row r="826" spans="1:2" x14ac:dyDescent="0.2">
      <c r="A826" s="272">
        <v>1620028055</v>
      </c>
      <c r="B826" s="485">
        <v>1796.9</v>
      </c>
    </row>
    <row r="827" spans="1:2" x14ac:dyDescent="0.2">
      <c r="A827" s="272">
        <v>1620028056</v>
      </c>
      <c r="B827" s="485">
        <v>90244.06</v>
      </c>
    </row>
    <row r="828" spans="1:2" x14ac:dyDescent="0.2">
      <c r="A828" s="272">
        <v>1620028058</v>
      </c>
      <c r="B828" s="485">
        <v>20264.98</v>
      </c>
    </row>
    <row r="829" spans="1:2" x14ac:dyDescent="0.2">
      <c r="A829" s="272">
        <v>1620028059</v>
      </c>
      <c r="B829" s="485">
        <v>110808.53</v>
      </c>
    </row>
    <row r="830" spans="1:2" x14ac:dyDescent="0.2">
      <c r="A830" s="272">
        <v>1620028060</v>
      </c>
      <c r="B830" s="485">
        <v>13975.85</v>
      </c>
    </row>
    <row r="831" spans="1:2" x14ac:dyDescent="0.2">
      <c r="A831" s="272">
        <v>1620028061</v>
      </c>
      <c r="B831" s="485">
        <v>41228.76</v>
      </c>
    </row>
    <row r="832" spans="1:2" x14ac:dyDescent="0.2">
      <c r="A832" s="272">
        <v>1620028062</v>
      </c>
      <c r="B832" s="485">
        <v>13975.85</v>
      </c>
    </row>
    <row r="833" spans="1:2" x14ac:dyDescent="0.2">
      <c r="A833" s="272">
        <v>1620028063</v>
      </c>
      <c r="B833" s="485">
        <v>695.12</v>
      </c>
    </row>
    <row r="834" spans="1:2" x14ac:dyDescent="0.2">
      <c r="A834" s="272">
        <v>1620028064</v>
      </c>
      <c r="B834" s="485">
        <v>0</v>
      </c>
    </row>
    <row r="835" spans="1:2" x14ac:dyDescent="0.2">
      <c r="A835" s="272">
        <v>1620028065</v>
      </c>
      <c r="B835" s="485">
        <v>0</v>
      </c>
    </row>
    <row r="836" spans="1:2" x14ac:dyDescent="0.2">
      <c r="A836" s="272">
        <v>1620028066</v>
      </c>
      <c r="B836" s="485">
        <v>26853.599999999999</v>
      </c>
    </row>
    <row r="837" spans="1:2" x14ac:dyDescent="0.2">
      <c r="A837" s="272">
        <v>1620028067</v>
      </c>
      <c r="B837" s="485">
        <v>6588.62</v>
      </c>
    </row>
    <row r="838" spans="1:2" x14ac:dyDescent="0.2">
      <c r="A838" s="272">
        <v>1620028068</v>
      </c>
      <c r="B838" s="485">
        <v>35139.279999999999</v>
      </c>
    </row>
    <row r="839" spans="1:2" x14ac:dyDescent="0.2">
      <c r="A839" s="272">
        <v>1620028069</v>
      </c>
      <c r="B839" s="485">
        <v>43125.48</v>
      </c>
    </row>
    <row r="840" spans="1:2" x14ac:dyDescent="0.2">
      <c r="A840" s="272">
        <v>1620028070</v>
      </c>
      <c r="B840" s="485">
        <v>8385.51</v>
      </c>
    </row>
    <row r="841" spans="1:2" x14ac:dyDescent="0.2">
      <c r="A841" s="272">
        <v>1620028071</v>
      </c>
      <c r="B841" s="485">
        <v>9882.92</v>
      </c>
    </row>
    <row r="842" spans="1:2" x14ac:dyDescent="0.2">
      <c r="A842" s="272">
        <v>1620028072</v>
      </c>
      <c r="B842" s="485">
        <v>794.42</v>
      </c>
    </row>
    <row r="843" spans="1:2" x14ac:dyDescent="0.2">
      <c r="A843" s="272">
        <v>1620028074</v>
      </c>
      <c r="B843" s="485">
        <v>1588.84</v>
      </c>
    </row>
    <row r="844" spans="1:2" x14ac:dyDescent="0.2">
      <c r="A844" s="272">
        <v>1620028075</v>
      </c>
      <c r="B844" s="485">
        <v>115001.28</v>
      </c>
    </row>
    <row r="845" spans="1:2" x14ac:dyDescent="0.2">
      <c r="A845" s="272">
        <v>1620028076</v>
      </c>
      <c r="B845" s="485">
        <v>0</v>
      </c>
    </row>
    <row r="846" spans="1:2" x14ac:dyDescent="0.2">
      <c r="A846" s="272">
        <v>1620028077</v>
      </c>
      <c r="B846" s="485">
        <v>18271.66</v>
      </c>
    </row>
    <row r="847" spans="1:2" x14ac:dyDescent="0.2">
      <c r="A847" s="272">
        <v>1620028078</v>
      </c>
      <c r="B847" s="485">
        <v>0</v>
      </c>
    </row>
    <row r="848" spans="1:2" x14ac:dyDescent="0.2">
      <c r="A848" s="272">
        <v>1620028079</v>
      </c>
      <c r="B848" s="485">
        <v>6388.96</v>
      </c>
    </row>
    <row r="849" spans="1:2" x14ac:dyDescent="0.2">
      <c r="A849" s="272">
        <v>1620028080</v>
      </c>
      <c r="B849" s="485">
        <v>22161.71</v>
      </c>
    </row>
    <row r="850" spans="1:2" x14ac:dyDescent="0.2">
      <c r="A850" s="272">
        <v>1620028081</v>
      </c>
      <c r="B850" s="485">
        <v>39132.379999999997</v>
      </c>
    </row>
    <row r="851" spans="1:2" x14ac:dyDescent="0.2">
      <c r="A851" s="272">
        <v>1620028082</v>
      </c>
      <c r="B851" s="485">
        <v>115300.76</v>
      </c>
    </row>
    <row r="852" spans="1:2" x14ac:dyDescent="0.2">
      <c r="A852" s="272">
        <v>1620028083</v>
      </c>
      <c r="B852" s="485">
        <v>32743.42</v>
      </c>
    </row>
    <row r="853" spans="1:2" x14ac:dyDescent="0.2">
      <c r="A853" s="272">
        <v>1620028084</v>
      </c>
      <c r="B853" s="485">
        <v>12777.92</v>
      </c>
    </row>
    <row r="854" spans="1:2" x14ac:dyDescent="0.2">
      <c r="A854" s="272">
        <v>1620028085</v>
      </c>
      <c r="B854" s="485">
        <v>18271.66</v>
      </c>
    </row>
    <row r="855" spans="1:2" x14ac:dyDescent="0.2">
      <c r="A855" s="272">
        <v>1620028086</v>
      </c>
      <c r="B855" s="485">
        <v>0</v>
      </c>
    </row>
    <row r="856" spans="1:2" x14ac:dyDescent="0.2">
      <c r="A856" s="272">
        <v>1620028087</v>
      </c>
      <c r="B856" s="485">
        <v>0</v>
      </c>
    </row>
    <row r="857" spans="1:2" x14ac:dyDescent="0.2">
      <c r="A857" s="272">
        <v>1620028088</v>
      </c>
      <c r="B857" s="485">
        <v>0</v>
      </c>
    </row>
    <row r="858" spans="1:2" x14ac:dyDescent="0.2">
      <c r="A858" s="272">
        <v>1620028089</v>
      </c>
      <c r="B858" s="485">
        <v>0</v>
      </c>
    </row>
    <row r="859" spans="1:2" x14ac:dyDescent="0.2">
      <c r="A859" s="272">
        <v>1620028090</v>
      </c>
      <c r="B859" s="485">
        <v>133164.65</v>
      </c>
    </row>
    <row r="860" spans="1:2" x14ac:dyDescent="0.2">
      <c r="A860" s="272">
        <v>1620028091</v>
      </c>
      <c r="B860" s="485">
        <v>56602.19</v>
      </c>
    </row>
    <row r="861" spans="1:2" x14ac:dyDescent="0.2">
      <c r="A861" s="272">
        <v>1620028092</v>
      </c>
      <c r="B861" s="485">
        <v>0</v>
      </c>
    </row>
    <row r="862" spans="1:2" x14ac:dyDescent="0.2">
      <c r="A862" s="272">
        <v>1620028093</v>
      </c>
      <c r="B862" s="485">
        <v>0</v>
      </c>
    </row>
    <row r="863" spans="1:2" x14ac:dyDescent="0.2">
      <c r="A863" s="272">
        <v>1620028094</v>
      </c>
      <c r="B863" s="485">
        <v>131772.29999999999</v>
      </c>
    </row>
    <row r="864" spans="1:2" x14ac:dyDescent="0.2">
      <c r="A864" s="272">
        <v>1620028095</v>
      </c>
      <c r="B864" s="485">
        <v>92839.58</v>
      </c>
    </row>
    <row r="865" spans="1:2" x14ac:dyDescent="0.2">
      <c r="A865" s="272">
        <v>1620028096</v>
      </c>
      <c r="B865" s="485">
        <v>9036.5300000000007</v>
      </c>
    </row>
    <row r="866" spans="1:2" x14ac:dyDescent="0.2">
      <c r="A866" s="272">
        <v>1620028097</v>
      </c>
      <c r="B866" s="485">
        <v>0</v>
      </c>
    </row>
    <row r="867" spans="1:2" x14ac:dyDescent="0.2">
      <c r="A867" s="272">
        <v>1620028099</v>
      </c>
      <c r="B867" s="485">
        <v>10781.37</v>
      </c>
    </row>
    <row r="868" spans="1:2" x14ac:dyDescent="0.2">
      <c r="A868" s="272">
        <v>1620028100</v>
      </c>
      <c r="B868" s="485">
        <v>133868.68</v>
      </c>
    </row>
    <row r="869" spans="1:2" x14ac:dyDescent="0.2">
      <c r="A869" s="272">
        <v>1620028101</v>
      </c>
      <c r="B869" s="485">
        <v>21562.74</v>
      </c>
    </row>
    <row r="870" spans="1:2" x14ac:dyDescent="0.2">
      <c r="A870" s="272">
        <v>1620028102</v>
      </c>
      <c r="B870" s="485">
        <v>6987.93</v>
      </c>
    </row>
    <row r="871" spans="1:2" x14ac:dyDescent="0.2">
      <c r="A871" s="272">
        <v>1620028103</v>
      </c>
      <c r="B871" s="485">
        <v>38231.46</v>
      </c>
    </row>
    <row r="872" spans="1:2" x14ac:dyDescent="0.2">
      <c r="A872" s="272">
        <v>1620028104</v>
      </c>
      <c r="B872" s="485">
        <v>101225.09</v>
      </c>
    </row>
    <row r="873" spans="1:2" x14ac:dyDescent="0.2">
      <c r="A873" s="272">
        <v>1620028105</v>
      </c>
      <c r="B873" s="485">
        <v>0</v>
      </c>
    </row>
    <row r="874" spans="1:2" x14ac:dyDescent="0.2">
      <c r="A874" s="272">
        <v>1620028106</v>
      </c>
      <c r="B874" s="485">
        <v>0</v>
      </c>
    </row>
    <row r="875" spans="1:2" x14ac:dyDescent="0.2">
      <c r="A875" s="272">
        <v>1620028107</v>
      </c>
      <c r="B875" s="485">
        <v>113004.73</v>
      </c>
    </row>
    <row r="876" spans="1:2" x14ac:dyDescent="0.2">
      <c r="A876" s="272">
        <v>1620028108</v>
      </c>
      <c r="B876" s="485">
        <v>52509.27</v>
      </c>
    </row>
    <row r="877" spans="1:2" x14ac:dyDescent="0.2">
      <c r="A877" s="272">
        <v>1620028109</v>
      </c>
      <c r="B877" s="485">
        <v>100825.78</v>
      </c>
    </row>
    <row r="878" spans="1:2" x14ac:dyDescent="0.2">
      <c r="A878" s="272">
        <v>1620028110</v>
      </c>
      <c r="B878" s="485">
        <v>0</v>
      </c>
    </row>
    <row r="879" spans="1:2" x14ac:dyDescent="0.2">
      <c r="A879" s="272">
        <v>1620028111</v>
      </c>
      <c r="B879" s="485">
        <v>0</v>
      </c>
    </row>
    <row r="880" spans="1:2" x14ac:dyDescent="0.2">
      <c r="A880" s="272">
        <v>1620028112</v>
      </c>
      <c r="B880" s="485">
        <v>3194.48</v>
      </c>
    </row>
    <row r="881" spans="1:2" x14ac:dyDescent="0.2">
      <c r="A881" s="272">
        <v>1620028113</v>
      </c>
      <c r="B881" s="485">
        <v>898.45</v>
      </c>
    </row>
    <row r="882" spans="1:2" x14ac:dyDescent="0.2">
      <c r="A882" s="272">
        <v>1620028114</v>
      </c>
      <c r="B882" s="485">
        <v>5590.34</v>
      </c>
    </row>
    <row r="883" spans="1:2" x14ac:dyDescent="0.2">
      <c r="A883" s="272">
        <v>1620028115</v>
      </c>
      <c r="B883" s="485">
        <v>19765.849999999999</v>
      </c>
    </row>
    <row r="884" spans="1:2" x14ac:dyDescent="0.2">
      <c r="A884" s="272">
        <v>1620028116</v>
      </c>
      <c r="B884" s="485">
        <v>64688.22</v>
      </c>
    </row>
    <row r="885" spans="1:2" x14ac:dyDescent="0.2">
      <c r="A885" s="272">
        <v>1620028117</v>
      </c>
      <c r="B885" s="485">
        <v>211035.34</v>
      </c>
    </row>
    <row r="886" spans="1:2" x14ac:dyDescent="0.2">
      <c r="A886" s="272">
        <v>1620028118</v>
      </c>
      <c r="B886" s="485">
        <v>28351.01</v>
      </c>
    </row>
    <row r="887" spans="1:2" x14ac:dyDescent="0.2">
      <c r="A887" s="272">
        <v>1620028119</v>
      </c>
      <c r="B887" s="485">
        <v>20664.29</v>
      </c>
    </row>
    <row r="888" spans="1:2" x14ac:dyDescent="0.2">
      <c r="A888" s="272">
        <v>1620028120</v>
      </c>
      <c r="B888" s="485">
        <v>1588.84</v>
      </c>
    </row>
    <row r="889" spans="1:2" x14ac:dyDescent="0.2">
      <c r="A889" s="272">
        <v>1620028121</v>
      </c>
      <c r="B889" s="485">
        <v>1996.55</v>
      </c>
    </row>
    <row r="890" spans="1:2" x14ac:dyDescent="0.2">
      <c r="A890" s="272">
        <v>1620028122</v>
      </c>
      <c r="B890" s="485">
        <v>55304.44</v>
      </c>
    </row>
    <row r="891" spans="1:2" x14ac:dyDescent="0.2">
      <c r="A891" s="272">
        <v>1620028123</v>
      </c>
      <c r="B891" s="485">
        <v>108712.15</v>
      </c>
    </row>
    <row r="892" spans="1:2" x14ac:dyDescent="0.2">
      <c r="A892" s="272">
        <v>1620028124</v>
      </c>
      <c r="B892" s="485">
        <v>15972.4</v>
      </c>
    </row>
    <row r="893" spans="1:2" x14ac:dyDescent="0.2">
      <c r="A893" s="272">
        <v>1620028125</v>
      </c>
      <c r="B893" s="485">
        <v>5590.34</v>
      </c>
    </row>
    <row r="894" spans="1:2" x14ac:dyDescent="0.2">
      <c r="A894" s="272">
        <v>1620028126</v>
      </c>
      <c r="B894" s="485">
        <v>172501.92</v>
      </c>
    </row>
    <row r="895" spans="1:2" x14ac:dyDescent="0.2">
      <c r="A895" s="272">
        <v>1620028127</v>
      </c>
      <c r="B895" s="485">
        <v>17070.5</v>
      </c>
    </row>
    <row r="896" spans="1:2" x14ac:dyDescent="0.2">
      <c r="A896" s="272">
        <v>1620028128</v>
      </c>
      <c r="B896" s="485">
        <v>115899.73</v>
      </c>
    </row>
    <row r="897" spans="1:2" x14ac:dyDescent="0.2">
      <c r="A897" s="272">
        <v>1620028129</v>
      </c>
      <c r="B897" s="485">
        <v>42898.68</v>
      </c>
    </row>
    <row r="898" spans="1:2" x14ac:dyDescent="0.2">
      <c r="A898" s="272">
        <v>1620028130</v>
      </c>
      <c r="B898" s="485">
        <v>6388.96</v>
      </c>
    </row>
    <row r="899" spans="1:2" x14ac:dyDescent="0.2">
      <c r="A899" s="272">
        <v>1620028131</v>
      </c>
      <c r="B899" s="485">
        <v>73473.039999999994</v>
      </c>
    </row>
    <row r="900" spans="1:2" x14ac:dyDescent="0.2">
      <c r="A900" s="272">
        <v>1620028132</v>
      </c>
      <c r="B900" s="485">
        <v>6355.36</v>
      </c>
    </row>
    <row r="901" spans="1:2" x14ac:dyDescent="0.2">
      <c r="A901" s="272">
        <v>1620028133</v>
      </c>
      <c r="B901" s="485">
        <v>153734.35</v>
      </c>
    </row>
    <row r="902" spans="1:2" x14ac:dyDescent="0.2">
      <c r="A902" s="272">
        <v>1620028134</v>
      </c>
      <c r="B902" s="485">
        <v>0</v>
      </c>
    </row>
    <row r="903" spans="1:2" x14ac:dyDescent="0.2">
      <c r="A903" s="272">
        <v>1620028135</v>
      </c>
      <c r="B903" s="485">
        <v>0</v>
      </c>
    </row>
    <row r="904" spans="1:2" x14ac:dyDescent="0.2">
      <c r="A904" s="272">
        <v>1620028136</v>
      </c>
      <c r="B904" s="485">
        <v>64688.22</v>
      </c>
    </row>
    <row r="905" spans="1:2" x14ac:dyDescent="0.2">
      <c r="A905" s="272">
        <v>1620028137</v>
      </c>
      <c r="B905" s="485">
        <v>13975.85</v>
      </c>
    </row>
    <row r="906" spans="1:2" x14ac:dyDescent="0.2">
      <c r="A906" s="272">
        <v>1620028138</v>
      </c>
      <c r="B906" s="485">
        <v>0</v>
      </c>
    </row>
    <row r="907" spans="1:2" x14ac:dyDescent="0.2">
      <c r="A907" s="272">
        <v>1620028139</v>
      </c>
      <c r="B907" s="485">
        <v>19965.5</v>
      </c>
    </row>
    <row r="908" spans="1:2" x14ac:dyDescent="0.2">
      <c r="A908" s="272">
        <v>1620028140</v>
      </c>
      <c r="B908" s="485">
        <v>99927.33</v>
      </c>
    </row>
    <row r="909" spans="1:2" x14ac:dyDescent="0.2">
      <c r="A909" s="272">
        <v>1620028141</v>
      </c>
      <c r="B909" s="485">
        <v>142853.15</v>
      </c>
    </row>
    <row r="910" spans="1:2" x14ac:dyDescent="0.2">
      <c r="A910" s="272">
        <v>1620028142</v>
      </c>
      <c r="B910" s="485">
        <v>138560.57</v>
      </c>
    </row>
    <row r="911" spans="1:2" x14ac:dyDescent="0.2">
      <c r="A911" s="272">
        <v>1620028143</v>
      </c>
      <c r="B911" s="485">
        <v>127802.32</v>
      </c>
    </row>
    <row r="912" spans="1:2" x14ac:dyDescent="0.2">
      <c r="A912" s="272">
        <v>1620028144</v>
      </c>
      <c r="B912" s="485">
        <v>263151.63</v>
      </c>
    </row>
    <row r="913" spans="1:2" x14ac:dyDescent="0.2">
      <c r="A913" s="272">
        <v>1620028145</v>
      </c>
      <c r="B913" s="485">
        <v>7187.58</v>
      </c>
    </row>
    <row r="914" spans="1:2" x14ac:dyDescent="0.2">
      <c r="A914" s="272">
        <v>1620028146</v>
      </c>
      <c r="B914" s="485">
        <v>274026.49</v>
      </c>
    </row>
    <row r="915" spans="1:2" x14ac:dyDescent="0.2">
      <c r="A915" s="272">
        <v>1620028147</v>
      </c>
      <c r="B915" s="485">
        <v>0</v>
      </c>
    </row>
    <row r="916" spans="1:2" x14ac:dyDescent="0.2">
      <c r="A916" s="272">
        <v>1620028148</v>
      </c>
      <c r="B916" s="485">
        <v>57500.639999999999</v>
      </c>
    </row>
    <row r="917" spans="1:2" x14ac:dyDescent="0.2">
      <c r="A917" s="272">
        <v>1620028149</v>
      </c>
      <c r="B917" s="485">
        <v>2681.17</v>
      </c>
    </row>
    <row r="918" spans="1:2" x14ac:dyDescent="0.2">
      <c r="A918" s="272">
        <v>1620028150</v>
      </c>
      <c r="B918" s="485">
        <v>54106.51</v>
      </c>
    </row>
    <row r="919" spans="1:2" x14ac:dyDescent="0.2">
      <c r="A919" s="272">
        <v>1620028151</v>
      </c>
      <c r="B919" s="485">
        <v>0</v>
      </c>
    </row>
    <row r="920" spans="1:2" x14ac:dyDescent="0.2">
      <c r="A920" s="272">
        <v>1620028152</v>
      </c>
      <c r="B920" s="485">
        <v>179836.83</v>
      </c>
    </row>
    <row r="921" spans="1:2" x14ac:dyDescent="0.2">
      <c r="A921" s="272">
        <v>1620028153</v>
      </c>
      <c r="B921" s="485">
        <v>90144.23</v>
      </c>
    </row>
    <row r="922" spans="1:2" x14ac:dyDescent="0.2">
      <c r="A922" s="272">
        <v>1620028154</v>
      </c>
      <c r="B922" s="485">
        <v>67029.19</v>
      </c>
    </row>
    <row r="923" spans="1:2" x14ac:dyDescent="0.2">
      <c r="A923" s="272">
        <v>1620028155</v>
      </c>
      <c r="B923" s="485">
        <v>111008.18</v>
      </c>
    </row>
    <row r="924" spans="1:2" x14ac:dyDescent="0.2">
      <c r="A924" s="272">
        <v>1620028156</v>
      </c>
      <c r="B924" s="485">
        <v>133369.54</v>
      </c>
    </row>
    <row r="925" spans="1:2" x14ac:dyDescent="0.2">
      <c r="A925" s="272">
        <v>1620028157</v>
      </c>
      <c r="B925" s="485">
        <v>38333.760000000002</v>
      </c>
    </row>
    <row r="926" spans="1:2" x14ac:dyDescent="0.2">
      <c r="A926" s="272">
        <v>1620028158</v>
      </c>
      <c r="B926" s="485">
        <v>119793</v>
      </c>
    </row>
    <row r="927" spans="1:2" x14ac:dyDescent="0.2">
      <c r="A927" s="272">
        <v>1620028159</v>
      </c>
      <c r="B927" s="485">
        <v>898.45</v>
      </c>
    </row>
    <row r="928" spans="1:2" x14ac:dyDescent="0.2">
      <c r="A928" s="272">
        <v>1620028160</v>
      </c>
      <c r="B928" s="485">
        <v>9583.44</v>
      </c>
    </row>
    <row r="929" spans="1:2" x14ac:dyDescent="0.2">
      <c r="A929" s="272">
        <v>1620028161</v>
      </c>
      <c r="B929" s="485">
        <v>127579.55</v>
      </c>
    </row>
    <row r="930" spans="1:2" x14ac:dyDescent="0.2">
      <c r="A930" s="272">
        <v>1620028162</v>
      </c>
      <c r="B930" s="485">
        <v>133859.76999999999</v>
      </c>
    </row>
    <row r="931" spans="1:2" x14ac:dyDescent="0.2">
      <c r="A931" s="272">
        <v>1620028163</v>
      </c>
      <c r="B931" s="485">
        <v>0</v>
      </c>
    </row>
    <row r="932" spans="1:2" x14ac:dyDescent="0.2">
      <c r="A932" s="272">
        <v>1620028164</v>
      </c>
      <c r="B932" s="485">
        <v>184680.88</v>
      </c>
    </row>
    <row r="933" spans="1:2" x14ac:dyDescent="0.2">
      <c r="A933" s="272">
        <v>1620028165</v>
      </c>
      <c r="B933" s="485">
        <v>24130.51</v>
      </c>
    </row>
    <row r="934" spans="1:2" x14ac:dyDescent="0.2">
      <c r="A934" s="272">
        <v>1620028166</v>
      </c>
      <c r="B934" s="485">
        <v>30386.57</v>
      </c>
    </row>
    <row r="935" spans="1:2" x14ac:dyDescent="0.2">
      <c r="A935" s="272">
        <v>1620028167</v>
      </c>
      <c r="B935" s="485">
        <v>132071.78</v>
      </c>
    </row>
    <row r="936" spans="1:2" x14ac:dyDescent="0.2">
      <c r="A936" s="272">
        <v>1620028168</v>
      </c>
      <c r="B936" s="485">
        <v>174498.47</v>
      </c>
    </row>
    <row r="937" spans="1:2" x14ac:dyDescent="0.2">
      <c r="A937" s="272">
        <v>1620028169</v>
      </c>
      <c r="B937" s="485">
        <v>71875.8</v>
      </c>
    </row>
    <row r="938" spans="1:2" x14ac:dyDescent="0.2">
      <c r="A938" s="272">
        <v>1620028170</v>
      </c>
      <c r="B938" s="485">
        <v>95330.4</v>
      </c>
    </row>
    <row r="939" spans="1:2" x14ac:dyDescent="0.2">
      <c r="A939" s="272">
        <v>1620028171</v>
      </c>
      <c r="B939" s="485">
        <v>60695.12</v>
      </c>
    </row>
    <row r="940" spans="1:2" x14ac:dyDescent="0.2">
      <c r="A940" s="272">
        <v>1620028172</v>
      </c>
      <c r="B940" s="485">
        <v>30846.7</v>
      </c>
    </row>
    <row r="941" spans="1:2" x14ac:dyDescent="0.2">
      <c r="A941" s="272">
        <v>1620028173</v>
      </c>
      <c r="B941" s="485">
        <v>0</v>
      </c>
    </row>
    <row r="942" spans="1:2" x14ac:dyDescent="0.2">
      <c r="A942" s="272">
        <v>1620028174</v>
      </c>
      <c r="B942" s="485">
        <v>128696.04</v>
      </c>
    </row>
    <row r="943" spans="1:2" x14ac:dyDescent="0.2">
      <c r="A943" s="272">
        <v>1620028175</v>
      </c>
      <c r="B943" s="485">
        <v>127879.03</v>
      </c>
    </row>
    <row r="944" spans="1:2" x14ac:dyDescent="0.2">
      <c r="A944" s="272">
        <v>1620028176</v>
      </c>
      <c r="B944" s="485">
        <v>152636.25</v>
      </c>
    </row>
    <row r="945" spans="1:2" x14ac:dyDescent="0.2">
      <c r="A945" s="272">
        <v>1620028177</v>
      </c>
      <c r="B945" s="485">
        <v>46319.96</v>
      </c>
    </row>
    <row r="946" spans="1:2" x14ac:dyDescent="0.2">
      <c r="A946" s="272">
        <v>1620028178</v>
      </c>
      <c r="B946" s="485">
        <v>54705.47</v>
      </c>
    </row>
    <row r="947" spans="1:2" x14ac:dyDescent="0.2">
      <c r="A947" s="272">
        <v>1620028179</v>
      </c>
      <c r="B947" s="485">
        <v>0</v>
      </c>
    </row>
    <row r="948" spans="1:2" x14ac:dyDescent="0.2">
      <c r="A948" s="272">
        <v>1620028180</v>
      </c>
      <c r="B948" s="485">
        <v>235393.25</v>
      </c>
    </row>
    <row r="949" spans="1:2" x14ac:dyDescent="0.2">
      <c r="A949" s="272">
        <v>1620028181</v>
      </c>
      <c r="B949" s="485">
        <v>0</v>
      </c>
    </row>
    <row r="950" spans="1:2" x14ac:dyDescent="0.2">
      <c r="A950" s="272">
        <v>1620028182</v>
      </c>
      <c r="B950" s="485">
        <v>92939.4</v>
      </c>
    </row>
    <row r="951" spans="1:2" x14ac:dyDescent="0.2">
      <c r="A951" s="272">
        <v>1620028183</v>
      </c>
      <c r="B951" s="485">
        <v>85053.03</v>
      </c>
    </row>
    <row r="952" spans="1:2" x14ac:dyDescent="0.2">
      <c r="A952" s="272">
        <v>1620028184</v>
      </c>
      <c r="B952" s="485">
        <v>0</v>
      </c>
    </row>
    <row r="953" spans="1:2" x14ac:dyDescent="0.2">
      <c r="A953" s="272">
        <v>1620028185</v>
      </c>
      <c r="B953" s="485">
        <v>46473.57</v>
      </c>
    </row>
    <row r="954" spans="1:2" x14ac:dyDescent="0.2">
      <c r="A954" s="272">
        <v>1620028186</v>
      </c>
      <c r="B954" s="485">
        <v>74770.8</v>
      </c>
    </row>
    <row r="955" spans="1:2" x14ac:dyDescent="0.2">
      <c r="A955" s="272">
        <v>1620028187</v>
      </c>
      <c r="B955" s="485">
        <v>47367.29</v>
      </c>
    </row>
    <row r="956" spans="1:2" x14ac:dyDescent="0.2">
      <c r="A956" s="272">
        <v>1620028188</v>
      </c>
      <c r="B956" s="485">
        <v>34141.01</v>
      </c>
    </row>
    <row r="957" spans="1:2" x14ac:dyDescent="0.2">
      <c r="A957" s="272">
        <v>1620028190</v>
      </c>
      <c r="B957" s="485">
        <v>7187.58</v>
      </c>
    </row>
    <row r="958" spans="1:2" x14ac:dyDescent="0.2">
      <c r="A958" s="272">
        <v>1620028191</v>
      </c>
      <c r="B958" s="485">
        <v>0</v>
      </c>
    </row>
    <row r="959" spans="1:2" x14ac:dyDescent="0.2">
      <c r="A959" s="272">
        <v>1620028192</v>
      </c>
      <c r="B959" s="485">
        <v>78963.55</v>
      </c>
    </row>
    <row r="960" spans="1:2" x14ac:dyDescent="0.2">
      <c r="A960" s="272">
        <v>1620028193</v>
      </c>
      <c r="B960" s="485">
        <v>53226.14</v>
      </c>
    </row>
    <row r="961" spans="1:2" x14ac:dyDescent="0.2">
      <c r="A961" s="272">
        <v>1620028194</v>
      </c>
      <c r="B961" s="485">
        <v>63090.98</v>
      </c>
    </row>
    <row r="962" spans="1:2" x14ac:dyDescent="0.2">
      <c r="A962" s="272">
        <v>1620028195</v>
      </c>
      <c r="B962" s="485">
        <v>97431.64</v>
      </c>
    </row>
    <row r="963" spans="1:2" x14ac:dyDescent="0.2">
      <c r="A963" s="272">
        <v>1620028196</v>
      </c>
      <c r="B963" s="485">
        <v>95435.09</v>
      </c>
    </row>
    <row r="964" spans="1:2" x14ac:dyDescent="0.2">
      <c r="A964" s="272">
        <v>1620028198</v>
      </c>
      <c r="B964" s="485">
        <v>0</v>
      </c>
    </row>
    <row r="965" spans="1:2" x14ac:dyDescent="0.2">
      <c r="A965" s="272">
        <v>1620028199</v>
      </c>
      <c r="B965" s="485">
        <v>4766.5200000000004</v>
      </c>
    </row>
    <row r="966" spans="1:2" x14ac:dyDescent="0.2">
      <c r="A966" s="272">
        <v>1620028200</v>
      </c>
      <c r="B966" s="485">
        <v>0</v>
      </c>
    </row>
    <row r="967" spans="1:2" x14ac:dyDescent="0.2">
      <c r="A967" s="272">
        <v>1620028201</v>
      </c>
      <c r="B967" s="485">
        <v>53906.85</v>
      </c>
    </row>
    <row r="968" spans="1:2" x14ac:dyDescent="0.2">
      <c r="A968" s="272">
        <v>1620028202</v>
      </c>
      <c r="B968" s="485">
        <v>264343.21999999997</v>
      </c>
    </row>
    <row r="969" spans="1:2" x14ac:dyDescent="0.2">
      <c r="A969" s="272">
        <v>1620028203</v>
      </c>
      <c r="B969" s="485">
        <v>0</v>
      </c>
    </row>
    <row r="970" spans="1:2" x14ac:dyDescent="0.2">
      <c r="A970" s="272">
        <v>1620028204</v>
      </c>
      <c r="B970" s="485">
        <v>110821.59</v>
      </c>
    </row>
    <row r="971" spans="1:2" x14ac:dyDescent="0.2">
      <c r="A971" s="272">
        <v>1620028205</v>
      </c>
      <c r="B971" s="485">
        <v>7187.58</v>
      </c>
    </row>
    <row r="972" spans="1:2" x14ac:dyDescent="0.2">
      <c r="A972" s="272">
        <v>1620028206</v>
      </c>
      <c r="B972" s="485">
        <v>78164.929999999993</v>
      </c>
    </row>
    <row r="973" spans="1:2" x14ac:dyDescent="0.2">
      <c r="A973" s="272">
        <v>1620028207</v>
      </c>
      <c r="B973" s="485">
        <v>0</v>
      </c>
    </row>
    <row r="974" spans="1:2" x14ac:dyDescent="0.2">
      <c r="A974" s="272">
        <v>1620028208</v>
      </c>
      <c r="B974" s="485">
        <v>0</v>
      </c>
    </row>
    <row r="975" spans="1:2" x14ac:dyDescent="0.2">
      <c r="A975" s="272">
        <v>1620028209</v>
      </c>
      <c r="B975" s="485">
        <v>6388.96</v>
      </c>
    </row>
    <row r="976" spans="1:2" x14ac:dyDescent="0.2">
      <c r="A976" s="272">
        <v>1620028210</v>
      </c>
      <c r="B976" s="485">
        <v>46918.93</v>
      </c>
    </row>
    <row r="977" spans="1:2" x14ac:dyDescent="0.2">
      <c r="A977" s="272">
        <v>1620028211</v>
      </c>
      <c r="B977" s="485">
        <v>0</v>
      </c>
    </row>
    <row r="978" spans="1:2" x14ac:dyDescent="0.2">
      <c r="A978" s="272">
        <v>1620028212</v>
      </c>
      <c r="B978" s="485">
        <v>0</v>
      </c>
    </row>
    <row r="979" spans="1:2" x14ac:dyDescent="0.2">
      <c r="A979" s="272">
        <v>1620028213</v>
      </c>
      <c r="B979" s="485">
        <v>0</v>
      </c>
    </row>
    <row r="980" spans="1:2" x14ac:dyDescent="0.2">
      <c r="A980" s="272">
        <v>1620028214</v>
      </c>
      <c r="B980" s="485">
        <v>225991.49</v>
      </c>
    </row>
    <row r="981" spans="1:2" x14ac:dyDescent="0.2">
      <c r="A981" s="272">
        <v>1620028215</v>
      </c>
      <c r="B981" s="485">
        <v>0</v>
      </c>
    </row>
    <row r="982" spans="1:2" x14ac:dyDescent="0.2">
      <c r="A982" s="272">
        <v>1620028216</v>
      </c>
      <c r="B982" s="485">
        <v>134767.13</v>
      </c>
    </row>
    <row r="983" spans="1:2" x14ac:dyDescent="0.2">
      <c r="A983" s="272">
        <v>1620028217</v>
      </c>
      <c r="B983" s="485">
        <v>11979.3</v>
      </c>
    </row>
    <row r="984" spans="1:2" x14ac:dyDescent="0.2">
      <c r="A984" s="272">
        <v>1620028218</v>
      </c>
      <c r="B984" s="485">
        <v>3593.79</v>
      </c>
    </row>
    <row r="985" spans="1:2" x14ac:dyDescent="0.2">
      <c r="A985" s="272">
        <v>1620028219</v>
      </c>
      <c r="B985" s="485">
        <v>158188.88</v>
      </c>
    </row>
    <row r="986" spans="1:2" x14ac:dyDescent="0.2">
      <c r="A986" s="272">
        <v>1620028220</v>
      </c>
      <c r="B986" s="485">
        <v>6454.66</v>
      </c>
    </row>
    <row r="987" spans="1:2" x14ac:dyDescent="0.2">
      <c r="A987" s="272">
        <v>1620028221</v>
      </c>
      <c r="B987" s="485">
        <v>25730.54</v>
      </c>
    </row>
    <row r="988" spans="1:2" x14ac:dyDescent="0.2">
      <c r="A988" s="272">
        <v>1620028222</v>
      </c>
      <c r="B988" s="485">
        <v>11679.82</v>
      </c>
    </row>
    <row r="989" spans="1:2" x14ac:dyDescent="0.2">
      <c r="A989" s="272">
        <v>1620028223</v>
      </c>
      <c r="B989" s="485">
        <v>110424.38</v>
      </c>
    </row>
    <row r="990" spans="1:2" x14ac:dyDescent="0.2">
      <c r="A990" s="272">
        <v>1620028224</v>
      </c>
      <c r="B990" s="485">
        <v>8984.48</v>
      </c>
    </row>
    <row r="991" spans="1:2" x14ac:dyDescent="0.2">
      <c r="A991" s="272">
        <v>1620028226</v>
      </c>
      <c r="B991" s="485">
        <v>38733.07</v>
      </c>
    </row>
    <row r="992" spans="1:2" x14ac:dyDescent="0.2">
      <c r="A992" s="272">
        <v>1620028227</v>
      </c>
      <c r="B992" s="485">
        <v>0</v>
      </c>
    </row>
    <row r="993" spans="1:4" x14ac:dyDescent="0.2">
      <c r="A993" s="272">
        <v>1620028228</v>
      </c>
      <c r="B993" s="485">
        <v>2184.66</v>
      </c>
    </row>
    <row r="994" spans="1:4" x14ac:dyDescent="0.2">
      <c r="A994" s="272">
        <v>1620028229</v>
      </c>
      <c r="B994" s="485">
        <v>9583.44</v>
      </c>
    </row>
    <row r="995" spans="1:4" x14ac:dyDescent="0.2">
      <c r="A995" s="272">
        <v>1620028230</v>
      </c>
      <c r="B995" s="485">
        <v>0</v>
      </c>
    </row>
    <row r="996" spans="1:4" x14ac:dyDescent="0.2">
      <c r="A996" s="272">
        <v>1620028232</v>
      </c>
      <c r="B996" s="485">
        <v>0</v>
      </c>
    </row>
    <row r="997" spans="1:4" x14ac:dyDescent="0.2">
      <c r="A997" s="272">
        <v>1620028233</v>
      </c>
      <c r="B997" s="485">
        <v>12578.27</v>
      </c>
    </row>
    <row r="998" spans="1:4" x14ac:dyDescent="0.2">
      <c r="A998" s="272">
        <v>1620028234</v>
      </c>
      <c r="B998" s="485">
        <v>0</v>
      </c>
    </row>
    <row r="999" spans="1:4" x14ac:dyDescent="0.2">
      <c r="A999" s="272">
        <v>1620028235</v>
      </c>
      <c r="B999" s="485">
        <v>0</v>
      </c>
    </row>
    <row r="1000" spans="1:4" x14ac:dyDescent="0.2">
      <c r="A1000" s="272">
        <v>1620028236</v>
      </c>
      <c r="B1000" s="485">
        <v>3972.1</v>
      </c>
    </row>
    <row r="1001" spans="1:4" x14ac:dyDescent="0.2">
      <c r="A1001" s="272">
        <v>1620028237</v>
      </c>
      <c r="B1001" s="485">
        <v>2994.83</v>
      </c>
    </row>
    <row r="1002" spans="1:4" x14ac:dyDescent="0.2">
      <c r="A1002" s="272">
        <v>1620028238</v>
      </c>
      <c r="B1002" s="485">
        <v>106216.46</v>
      </c>
    </row>
    <row r="1003" spans="1:4" x14ac:dyDescent="0.2">
      <c r="A1003" s="272">
        <v>1620028239</v>
      </c>
      <c r="B1003" s="485">
        <v>0</v>
      </c>
    </row>
    <row r="1004" spans="1:4" x14ac:dyDescent="0.2">
      <c r="A1004" s="272">
        <v>1620028240</v>
      </c>
      <c r="B1004" s="485">
        <v>144584.44</v>
      </c>
    </row>
    <row r="1005" spans="1:4" x14ac:dyDescent="0.2">
      <c r="A1005" s="272">
        <v>1620028241</v>
      </c>
      <c r="B1005" s="485">
        <v>66984.25</v>
      </c>
    </row>
    <row r="1006" spans="1:4" x14ac:dyDescent="0.2">
      <c r="A1006" s="272">
        <v>1620028244</v>
      </c>
      <c r="B1006" s="485">
        <v>15173.78</v>
      </c>
    </row>
    <row r="1007" spans="1:4" x14ac:dyDescent="0.2">
      <c r="A1007" s="272">
        <v>1620028245</v>
      </c>
      <c r="B1007" s="485">
        <v>0</v>
      </c>
    </row>
    <row r="1008" spans="1:4" x14ac:dyDescent="0.2">
      <c r="A1008" s="272">
        <v>1620028246</v>
      </c>
      <c r="B1008" s="485">
        <v>0</v>
      </c>
      <c r="D1008" s="273">
        <v>0</v>
      </c>
    </row>
    <row r="1009" spans="1:4" x14ac:dyDescent="0.2">
      <c r="A1009" s="272">
        <v>1620028247</v>
      </c>
      <c r="B1009" s="485">
        <v>9583.44</v>
      </c>
      <c r="D1009" s="273">
        <v>7944.2</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2:P110"/>
  <sheetViews>
    <sheetView topLeftCell="A52" zoomScale="110" zoomScaleNormal="110" workbookViewId="0">
      <selection activeCell="C95" sqref="C95"/>
    </sheetView>
  </sheetViews>
  <sheetFormatPr baseColWidth="10" defaultColWidth="11.5703125" defaultRowHeight="12.75" x14ac:dyDescent="0.2"/>
  <cols>
    <col min="1" max="1" width="4.5703125" style="75" customWidth="1"/>
    <col min="2" max="2" width="43.28515625" style="176" customWidth="1"/>
    <col min="3" max="3" width="28.28515625" style="176" customWidth="1"/>
    <col min="4" max="4" width="17.140625" style="176" customWidth="1"/>
    <col min="5" max="5" width="9.42578125" style="176" customWidth="1"/>
    <col min="6" max="6" width="8.85546875" style="176" customWidth="1"/>
    <col min="7" max="7" width="28.140625" style="176" customWidth="1"/>
    <col min="8" max="8" width="16.28515625" style="176" customWidth="1"/>
    <col min="9" max="9" width="23.85546875" style="176" customWidth="1"/>
    <col min="10" max="13" width="11.5703125" style="176"/>
    <col min="14" max="14" width="23.140625" style="176" customWidth="1"/>
    <col min="15" max="16384" width="11.5703125" style="176"/>
  </cols>
  <sheetData>
    <row r="2" spans="1:11" x14ac:dyDescent="0.2">
      <c r="B2" s="193" t="s">
        <v>124</v>
      </c>
      <c r="C2" s="192"/>
      <c r="D2" s="192"/>
      <c r="E2" s="192"/>
      <c r="F2" s="194"/>
      <c r="G2" s="192"/>
      <c r="H2" s="192"/>
      <c r="I2" s="192"/>
    </row>
    <row r="3" spans="1:11" ht="15.75" customHeight="1" x14ac:dyDescent="0.2">
      <c r="B3" s="192"/>
      <c r="C3" s="192"/>
      <c r="D3" s="192"/>
      <c r="E3" s="195"/>
      <c r="F3" s="192"/>
      <c r="G3" s="192"/>
      <c r="H3" s="192"/>
      <c r="I3" s="192"/>
    </row>
    <row r="4" spans="1:11" x14ac:dyDescent="0.2">
      <c r="B4" s="582" t="s">
        <v>125</v>
      </c>
      <c r="C4" s="582"/>
      <c r="D4" s="582"/>
      <c r="E4" s="582"/>
      <c r="F4" s="192"/>
      <c r="G4" s="192"/>
      <c r="H4" s="192"/>
      <c r="I4" s="192"/>
    </row>
    <row r="5" spans="1:11" x14ac:dyDescent="0.2">
      <c r="B5" s="583" t="s">
        <v>174</v>
      </c>
      <c r="C5" s="583"/>
      <c r="D5" s="583"/>
      <c r="E5" s="583"/>
      <c r="F5" s="195"/>
      <c r="G5" s="195"/>
      <c r="H5" s="195"/>
      <c r="I5" s="192"/>
    </row>
    <row r="6" spans="1:11" x14ac:dyDescent="0.2">
      <c r="B6" s="582" t="s">
        <v>179</v>
      </c>
      <c r="C6" s="582"/>
      <c r="D6" s="582"/>
      <c r="E6" s="582"/>
      <c r="F6" s="582"/>
      <c r="G6" s="196"/>
      <c r="H6" s="192"/>
      <c r="I6" s="192"/>
    </row>
    <row r="7" spans="1:11" x14ac:dyDescent="0.2">
      <c r="B7" s="196"/>
      <c r="C7" s="194"/>
      <c r="D7" s="192"/>
      <c r="E7" s="192"/>
      <c r="F7" s="192"/>
      <c r="G7" s="192"/>
      <c r="H7" s="192"/>
      <c r="I7" s="192"/>
    </row>
    <row r="8" spans="1:11" x14ac:dyDescent="0.2">
      <c r="B8" s="197"/>
      <c r="C8" s="197"/>
      <c r="D8" s="192"/>
      <c r="E8" s="192"/>
      <c r="F8" s="192"/>
      <c r="G8" s="192"/>
      <c r="H8" s="192"/>
      <c r="I8" s="192"/>
    </row>
    <row r="9" spans="1:11" x14ac:dyDescent="0.2">
      <c r="B9" s="194" t="s">
        <v>0</v>
      </c>
      <c r="C9" s="194"/>
      <c r="D9" s="194"/>
      <c r="E9" s="194"/>
      <c r="F9" s="194"/>
      <c r="G9" s="194"/>
      <c r="H9" s="192"/>
      <c r="I9" s="192"/>
    </row>
    <row r="10" spans="1:11" x14ac:dyDescent="0.2">
      <c r="B10" s="583" t="s">
        <v>288</v>
      </c>
      <c r="C10" s="583"/>
      <c r="D10" s="583"/>
      <c r="E10" s="583"/>
      <c r="F10" s="583"/>
      <c r="G10" s="583"/>
      <c r="H10" s="192"/>
      <c r="I10" s="192"/>
    </row>
    <row r="11" spans="1:11" x14ac:dyDescent="0.2">
      <c r="B11" s="193" t="s">
        <v>1</v>
      </c>
      <c r="C11" s="198"/>
      <c r="D11" s="198"/>
      <c r="E11" s="198"/>
      <c r="F11" s="198"/>
      <c r="G11" s="198"/>
      <c r="H11" s="192"/>
      <c r="I11" s="192"/>
    </row>
    <row r="12" spans="1:11" x14ac:dyDescent="0.2">
      <c r="B12" s="192"/>
      <c r="C12" s="192"/>
      <c r="D12" s="192"/>
      <c r="E12" s="192"/>
      <c r="F12" s="192"/>
      <c r="G12" s="192"/>
      <c r="H12" s="192"/>
      <c r="I12" s="192"/>
    </row>
    <row r="13" spans="1:11" ht="15.75" customHeight="1" x14ac:dyDescent="0.2">
      <c r="B13" s="585" t="s">
        <v>80</v>
      </c>
      <c r="C13" s="585"/>
      <c r="D13" s="585"/>
      <c r="E13" s="585"/>
      <c r="F13" s="585"/>
      <c r="G13" s="585"/>
      <c r="H13" s="585"/>
      <c r="I13" s="585"/>
    </row>
    <row r="14" spans="1:11" s="51" customFormat="1" ht="21.95" customHeight="1" x14ac:dyDescent="0.2">
      <c r="A14" s="75">
        <v>1</v>
      </c>
      <c r="B14" s="567" t="s">
        <v>2</v>
      </c>
      <c r="C14" s="568"/>
      <c r="D14" s="569"/>
      <c r="E14" s="584"/>
      <c r="F14" s="584"/>
      <c r="G14" s="584"/>
      <c r="H14" s="584"/>
      <c r="I14" s="584"/>
      <c r="J14" s="103"/>
      <c r="K14" s="103"/>
    </row>
    <row r="15" spans="1:11" s="51" customFormat="1" ht="21.95" customHeight="1" x14ac:dyDescent="0.2">
      <c r="A15" s="75">
        <v>2</v>
      </c>
      <c r="B15" s="567" t="s">
        <v>75</v>
      </c>
      <c r="C15" s="568"/>
      <c r="D15" s="569"/>
      <c r="E15" s="584"/>
      <c r="F15" s="584"/>
      <c r="G15" s="584"/>
      <c r="H15" s="584"/>
      <c r="I15" s="584"/>
      <c r="J15" s="103"/>
      <c r="K15" s="103"/>
    </row>
    <row r="16" spans="1:11" s="51" customFormat="1" ht="21.95" customHeight="1" x14ac:dyDescent="0.2">
      <c r="A16" s="75">
        <v>3</v>
      </c>
      <c r="B16" s="567" t="s">
        <v>92</v>
      </c>
      <c r="C16" s="568"/>
      <c r="D16" s="569"/>
      <c r="E16" s="584"/>
      <c r="F16" s="584"/>
      <c r="G16" s="584"/>
      <c r="H16" s="584"/>
      <c r="I16" s="584"/>
      <c r="J16" s="103"/>
      <c r="K16" s="103"/>
    </row>
    <row r="17" spans="1:11" s="51" customFormat="1" ht="21.95" customHeight="1" x14ac:dyDescent="0.2">
      <c r="A17" s="75">
        <v>4</v>
      </c>
      <c r="B17" s="567" t="s">
        <v>76</v>
      </c>
      <c r="C17" s="568"/>
      <c r="D17" s="569"/>
      <c r="E17" s="584"/>
      <c r="F17" s="584"/>
      <c r="G17" s="584"/>
      <c r="H17" s="584"/>
      <c r="I17" s="584"/>
      <c r="J17" s="103"/>
      <c r="K17" s="103"/>
    </row>
    <row r="18" spans="1:11" s="51" customFormat="1" ht="21.95" customHeight="1" x14ac:dyDescent="0.2">
      <c r="A18" s="75">
        <v>5</v>
      </c>
      <c r="B18" s="567" t="s">
        <v>367</v>
      </c>
      <c r="C18" s="568"/>
      <c r="D18" s="569"/>
      <c r="E18" s="586"/>
      <c r="F18" s="587"/>
      <c r="G18" s="587"/>
      <c r="H18" s="587"/>
      <c r="I18" s="588"/>
      <c r="J18" s="103"/>
      <c r="K18" s="180"/>
    </row>
    <row r="19" spans="1:11" s="51" customFormat="1" ht="21.95" customHeight="1" x14ac:dyDescent="0.2">
      <c r="A19" s="75">
        <v>6</v>
      </c>
      <c r="B19" s="567" t="s">
        <v>407</v>
      </c>
      <c r="C19" s="568"/>
      <c r="D19" s="569"/>
      <c r="E19" s="584"/>
      <c r="F19" s="584"/>
      <c r="G19" s="584"/>
      <c r="H19" s="584"/>
      <c r="I19" s="584"/>
      <c r="J19" s="103"/>
      <c r="K19" s="103"/>
    </row>
    <row r="20" spans="1:11" s="51" customFormat="1" ht="21.95" customHeight="1" x14ac:dyDescent="0.2">
      <c r="A20" s="75">
        <v>7</v>
      </c>
      <c r="B20" s="567" t="s">
        <v>77</v>
      </c>
      <c r="C20" s="568"/>
      <c r="D20" s="569"/>
      <c r="E20" s="581"/>
      <c r="F20" s="581"/>
      <c r="G20" s="581"/>
      <c r="H20" s="581"/>
      <c r="I20" s="581"/>
      <c r="J20" s="103"/>
      <c r="K20" s="103"/>
    </row>
    <row r="21" spans="1:11" s="51" customFormat="1" ht="21.95" customHeight="1" x14ac:dyDescent="0.2">
      <c r="A21" s="75">
        <v>8</v>
      </c>
      <c r="B21" s="567" t="s">
        <v>97</v>
      </c>
      <c r="C21" s="568"/>
      <c r="D21" s="569"/>
      <c r="E21" s="589"/>
      <c r="F21" s="584"/>
      <c r="G21" s="584"/>
      <c r="H21" s="584"/>
      <c r="I21" s="584"/>
      <c r="J21" s="103"/>
      <c r="K21" s="103"/>
    </row>
    <row r="22" spans="1:11" s="51" customFormat="1" ht="21.95" customHeight="1" x14ac:dyDescent="0.2">
      <c r="A22" s="75">
        <v>9</v>
      </c>
      <c r="B22" s="567" t="s">
        <v>78</v>
      </c>
      <c r="C22" s="568"/>
      <c r="D22" s="569"/>
      <c r="E22" s="584"/>
      <c r="F22" s="584"/>
      <c r="G22" s="584"/>
      <c r="H22" s="584"/>
      <c r="I22" s="584"/>
      <c r="J22" s="103"/>
      <c r="K22" s="103"/>
    </row>
    <row r="23" spans="1:11" s="51" customFormat="1" ht="21.95" customHeight="1" x14ac:dyDescent="0.2">
      <c r="A23" s="75">
        <v>10</v>
      </c>
      <c r="B23" s="567" t="s">
        <v>295</v>
      </c>
      <c r="C23" s="568"/>
      <c r="D23" s="569"/>
      <c r="E23" s="584"/>
      <c r="F23" s="584"/>
      <c r="G23" s="584"/>
      <c r="H23" s="584"/>
      <c r="I23" s="584"/>
      <c r="J23" s="103"/>
      <c r="K23" s="103"/>
    </row>
    <row r="24" spans="1:11" s="51" customFormat="1" ht="21.95" customHeight="1" x14ac:dyDescent="0.2">
      <c r="A24" s="75">
        <v>11</v>
      </c>
      <c r="B24" s="567" t="s">
        <v>3</v>
      </c>
      <c r="C24" s="568"/>
      <c r="D24" s="569"/>
      <c r="E24" s="606"/>
      <c r="F24" s="607"/>
      <c r="G24" s="607"/>
      <c r="H24" s="607"/>
      <c r="I24" s="608"/>
      <c r="J24" s="103"/>
      <c r="K24" s="103"/>
    </row>
    <row r="25" spans="1:11" s="52" customFormat="1" ht="20.100000000000001" customHeight="1" x14ac:dyDescent="0.2">
      <c r="A25" s="177"/>
      <c r="B25" s="604" t="s">
        <v>243</v>
      </c>
      <c r="C25" s="604"/>
      <c r="D25" s="604"/>
      <c r="E25" s="605"/>
      <c r="F25" s="605"/>
      <c r="G25" s="605"/>
      <c r="H25" s="605"/>
      <c r="I25" s="605"/>
    </row>
    <row r="26" spans="1:11" s="51" customFormat="1" ht="33" customHeight="1" x14ac:dyDescent="0.2">
      <c r="A26" s="75">
        <v>12</v>
      </c>
      <c r="B26" s="567" t="s">
        <v>298</v>
      </c>
      <c r="C26" s="568"/>
      <c r="D26" s="569"/>
      <c r="E26" s="600"/>
      <c r="F26" s="600"/>
      <c r="G26" s="600"/>
      <c r="H26" s="600"/>
      <c r="I26" s="600"/>
      <c r="J26" s="103"/>
      <c r="K26" s="103"/>
    </row>
    <row r="27" spans="1:11" s="51" customFormat="1" ht="26.1" customHeight="1" x14ac:dyDescent="0.2">
      <c r="A27" s="75">
        <v>13</v>
      </c>
      <c r="B27" s="567" t="s">
        <v>502</v>
      </c>
      <c r="C27" s="568"/>
      <c r="D27" s="569"/>
      <c r="E27" s="601">
        <v>12</v>
      </c>
      <c r="F27" s="602"/>
      <c r="G27" s="602"/>
      <c r="H27" s="602"/>
      <c r="I27" s="603"/>
      <c r="J27" s="103"/>
      <c r="K27" s="103"/>
    </row>
    <row r="28" spans="1:11" s="51" customFormat="1" ht="26.1" customHeight="1" x14ac:dyDescent="0.2">
      <c r="A28" s="75">
        <v>14</v>
      </c>
      <c r="B28" s="567" t="s">
        <v>360</v>
      </c>
      <c r="C28" s="568"/>
      <c r="D28" s="569"/>
      <c r="E28" s="601">
        <v>12</v>
      </c>
      <c r="F28" s="602"/>
      <c r="G28" s="602"/>
      <c r="H28" s="602"/>
      <c r="I28" s="603"/>
      <c r="J28" s="103"/>
      <c r="K28" s="103"/>
    </row>
    <row r="29" spans="1:11" s="51" customFormat="1" ht="26.1" customHeight="1" x14ac:dyDescent="0.2">
      <c r="A29" s="75">
        <v>15</v>
      </c>
      <c r="B29" s="567" t="s">
        <v>305</v>
      </c>
      <c r="C29" s="568"/>
      <c r="D29" s="569"/>
      <c r="E29" s="609" t="str">
        <f>IF(ISNA(VLOOKUP($E24,'kfU3'!$A$2:$D$1009,2,FALSE)),"",VLOOKUP($E24,'kfU3'!$A$2:$D$1009,2,FALSE))</f>
        <v/>
      </c>
      <c r="F29" s="610"/>
      <c r="G29" s="610"/>
      <c r="H29" s="610"/>
      <c r="I29" s="611"/>
      <c r="J29" s="103"/>
      <c r="K29" s="103"/>
    </row>
    <row r="30" spans="1:11" s="51" customFormat="1" ht="26.1" customHeight="1" x14ac:dyDescent="0.2">
      <c r="A30" s="75">
        <v>16</v>
      </c>
      <c r="B30" s="567" t="s">
        <v>362</v>
      </c>
      <c r="C30" s="568"/>
      <c r="D30" s="569"/>
      <c r="E30" s="609" t="str">
        <f>IFERROR(E29/E28*E27," ")</f>
        <v xml:space="preserve"> </v>
      </c>
      <c r="F30" s="610"/>
      <c r="G30" s="610"/>
      <c r="H30" s="610"/>
      <c r="I30" s="611"/>
      <c r="J30" s="103"/>
      <c r="K30" s="103"/>
    </row>
    <row r="31" spans="1:11" s="51" customFormat="1" ht="26.1" customHeight="1" x14ac:dyDescent="0.2">
      <c r="A31" s="75">
        <v>17</v>
      </c>
      <c r="B31" s="567" t="s">
        <v>526</v>
      </c>
      <c r="C31" s="568"/>
      <c r="D31" s="569"/>
      <c r="E31" s="570"/>
      <c r="F31" s="571"/>
      <c r="G31" s="571"/>
      <c r="H31" s="571"/>
      <c r="I31" s="572"/>
      <c r="J31" s="103"/>
      <c r="K31" s="103"/>
    </row>
    <row r="32" spans="1:11" s="51" customFormat="1" ht="20.100000000000001" customHeight="1" x14ac:dyDescent="0.2">
      <c r="A32" s="177"/>
      <c r="B32" s="591"/>
      <c r="C32" s="553"/>
      <c r="D32" s="553"/>
      <c r="E32" s="553"/>
      <c r="F32" s="553"/>
      <c r="G32" s="553"/>
      <c r="H32" s="553"/>
      <c r="I32" s="592"/>
    </row>
    <row r="33" spans="1:11" s="51" customFormat="1" ht="32.25" customHeight="1" x14ac:dyDescent="0.2">
      <c r="A33" s="75">
        <v>18</v>
      </c>
      <c r="B33" s="567" t="s">
        <v>299</v>
      </c>
      <c r="C33" s="568"/>
      <c r="D33" s="569"/>
      <c r="E33" s="593"/>
      <c r="F33" s="593"/>
      <c r="G33" s="593"/>
      <c r="H33" s="593"/>
      <c r="I33" s="593"/>
      <c r="J33" s="103"/>
      <c r="K33" s="103"/>
    </row>
    <row r="34" spans="1:11" s="51" customFormat="1" ht="26.1" customHeight="1" x14ac:dyDescent="0.2">
      <c r="A34" s="75">
        <v>19</v>
      </c>
      <c r="B34" s="567" t="s">
        <v>300</v>
      </c>
      <c r="C34" s="568"/>
      <c r="D34" s="569"/>
      <c r="E34" s="594"/>
      <c r="F34" s="595"/>
      <c r="G34" s="595"/>
      <c r="H34" s="595"/>
      <c r="I34" s="596"/>
      <c r="J34" s="103"/>
      <c r="K34" s="103"/>
    </row>
    <row r="35" spans="1:11" s="51" customFormat="1" ht="26.1" customHeight="1" x14ac:dyDescent="0.2">
      <c r="A35" s="75">
        <v>20</v>
      </c>
      <c r="B35" s="567" t="s">
        <v>301</v>
      </c>
      <c r="C35" s="568"/>
      <c r="D35" s="569"/>
      <c r="E35" s="597"/>
      <c r="F35" s="598"/>
      <c r="G35" s="598"/>
      <c r="H35" s="598"/>
      <c r="I35" s="599"/>
      <c r="J35" s="103"/>
      <c r="K35" s="103"/>
    </row>
    <row r="36" spans="1:11" s="51" customFormat="1" ht="26.1" customHeight="1" x14ac:dyDescent="0.2">
      <c r="A36" s="75">
        <v>21</v>
      </c>
      <c r="B36" s="567" t="s">
        <v>114</v>
      </c>
      <c r="C36" s="568"/>
      <c r="D36" s="569"/>
      <c r="E36" s="597" t="s">
        <v>89</v>
      </c>
      <c r="F36" s="598"/>
      <c r="G36" s="598"/>
      <c r="H36" s="598"/>
      <c r="I36" s="599"/>
      <c r="J36" s="103"/>
      <c r="K36" s="103"/>
    </row>
    <row r="37" spans="1:11" s="51" customFormat="1" ht="31.5" customHeight="1" x14ac:dyDescent="0.2">
      <c r="A37" s="75">
        <v>22</v>
      </c>
      <c r="B37" s="567" t="s">
        <v>123</v>
      </c>
      <c r="C37" s="568"/>
      <c r="D37" s="569"/>
      <c r="E37" s="597"/>
      <c r="F37" s="598"/>
      <c r="G37" s="598"/>
      <c r="H37" s="598"/>
      <c r="I37" s="599"/>
      <c r="J37" s="103"/>
      <c r="K37" s="103"/>
    </row>
    <row r="38" spans="1:11" s="51" customFormat="1" ht="20.100000000000001" customHeight="1" x14ac:dyDescent="0.2">
      <c r="A38" s="177"/>
      <c r="B38" s="604" t="s">
        <v>242</v>
      </c>
      <c r="C38" s="604"/>
      <c r="D38" s="604"/>
      <c r="E38" s="590"/>
      <c r="F38" s="590"/>
      <c r="G38" s="590"/>
      <c r="H38" s="590"/>
      <c r="I38" s="590"/>
    </row>
    <row r="39" spans="1:11" s="51" customFormat="1" ht="26.1" customHeight="1" x14ac:dyDescent="0.2">
      <c r="A39" s="75">
        <v>23</v>
      </c>
      <c r="B39" s="565" t="s">
        <v>115</v>
      </c>
      <c r="C39" s="566"/>
      <c r="D39" s="566"/>
      <c r="E39" s="570"/>
      <c r="F39" s="571"/>
      <c r="G39" s="571"/>
      <c r="H39" s="571"/>
      <c r="I39" s="572"/>
      <c r="J39" s="103"/>
      <c r="K39" s="103"/>
    </row>
    <row r="40" spans="1:11" s="51" customFormat="1" ht="26.1" customHeight="1" x14ac:dyDescent="0.2">
      <c r="A40" s="75">
        <v>24</v>
      </c>
      <c r="B40" s="565" t="s">
        <v>116</v>
      </c>
      <c r="C40" s="566"/>
      <c r="D40" s="566"/>
      <c r="E40" s="570"/>
      <c r="F40" s="571"/>
      <c r="G40" s="571"/>
      <c r="H40" s="571"/>
      <c r="I40" s="572"/>
      <c r="J40" s="103"/>
      <c r="K40" s="103"/>
    </row>
    <row r="41" spans="1:11" s="51" customFormat="1" ht="26.1" customHeight="1" x14ac:dyDescent="0.2">
      <c r="A41" s="75">
        <v>25</v>
      </c>
      <c r="B41" s="565" t="s">
        <v>117</v>
      </c>
      <c r="C41" s="566"/>
      <c r="D41" s="566"/>
      <c r="E41" s="573"/>
      <c r="F41" s="574"/>
      <c r="G41" s="574"/>
      <c r="H41" s="574"/>
      <c r="I41" s="575"/>
      <c r="J41" s="103"/>
      <c r="K41" s="103"/>
    </row>
    <row r="42" spans="1:11" s="51" customFormat="1" ht="26.1" customHeight="1" x14ac:dyDescent="0.2">
      <c r="A42" s="75">
        <v>26</v>
      </c>
      <c r="B42" s="565" t="s">
        <v>118</v>
      </c>
      <c r="C42" s="566"/>
      <c r="D42" s="566"/>
      <c r="E42" s="573"/>
      <c r="F42" s="574"/>
      <c r="G42" s="574"/>
      <c r="H42" s="574"/>
      <c r="I42" s="575"/>
      <c r="J42" s="103"/>
      <c r="K42" s="103"/>
    </row>
    <row r="43" spans="1:11" s="174" customFormat="1" ht="20.100000000000001" customHeight="1" x14ac:dyDescent="0.25">
      <c r="A43" s="178"/>
      <c r="B43" s="578" t="s">
        <v>241</v>
      </c>
      <c r="C43" s="578"/>
      <c r="D43" s="578"/>
      <c r="E43" s="579"/>
      <c r="F43" s="579"/>
      <c r="G43" s="579"/>
      <c r="H43" s="579"/>
      <c r="I43" s="579"/>
      <c r="J43" s="181"/>
      <c r="K43" s="181"/>
    </row>
    <row r="44" spans="1:11" s="53" customFormat="1" ht="31.5" customHeight="1" x14ac:dyDescent="0.2">
      <c r="A44" s="75">
        <v>27</v>
      </c>
      <c r="B44" s="580" t="s">
        <v>296</v>
      </c>
      <c r="C44" s="580"/>
      <c r="D44" s="580"/>
      <c r="E44" s="600"/>
      <c r="F44" s="600"/>
      <c r="G44" s="600"/>
      <c r="H44" s="600"/>
      <c r="I44" s="600"/>
      <c r="J44" s="182"/>
      <c r="K44" s="183"/>
    </row>
    <row r="45" spans="1:11" s="51" customFormat="1" ht="26.1" customHeight="1" x14ac:dyDescent="0.2">
      <c r="A45" s="75">
        <v>28</v>
      </c>
      <c r="B45" s="580" t="s">
        <v>81</v>
      </c>
      <c r="C45" s="580"/>
      <c r="D45" s="580"/>
      <c r="E45" s="584" t="s">
        <v>501</v>
      </c>
      <c r="F45" s="584"/>
      <c r="G45" s="584"/>
      <c r="H45" s="584"/>
      <c r="I45" s="584"/>
      <c r="J45" s="103"/>
      <c r="K45" s="103"/>
    </row>
    <row r="46" spans="1:11" s="51" customFormat="1" ht="26.1" customHeight="1" x14ac:dyDescent="0.2">
      <c r="A46" s="75">
        <v>29</v>
      </c>
      <c r="B46" s="612" t="s">
        <v>94</v>
      </c>
      <c r="C46" s="612"/>
      <c r="D46" s="612"/>
      <c r="E46" s="600"/>
      <c r="F46" s="600"/>
      <c r="G46" s="600"/>
      <c r="H46" s="600"/>
      <c r="I46" s="600"/>
      <c r="J46" s="103"/>
      <c r="K46" s="103"/>
    </row>
    <row r="47" spans="1:11" ht="9" customHeight="1" x14ac:dyDescent="0.2">
      <c r="B47" s="613"/>
      <c r="C47" s="613"/>
      <c r="D47" s="613"/>
      <c r="E47" s="613"/>
      <c r="F47" s="613"/>
      <c r="G47" s="613"/>
      <c r="H47" s="613"/>
      <c r="I47" s="613"/>
    </row>
    <row r="48" spans="1:11" s="174" customFormat="1" ht="20.100000000000001" customHeight="1" x14ac:dyDescent="0.25">
      <c r="A48" s="178"/>
      <c r="B48" s="554" t="s">
        <v>240</v>
      </c>
      <c r="C48" s="554"/>
      <c r="D48" s="554"/>
      <c r="E48" s="554"/>
      <c r="F48" s="554"/>
      <c r="G48" s="554"/>
      <c r="H48" s="554"/>
      <c r="I48" s="554"/>
    </row>
    <row r="49" spans="1:11" s="207" customFormat="1" ht="20.100000000000001" customHeight="1" x14ac:dyDescent="0.25">
      <c r="A49" s="75">
        <v>30</v>
      </c>
      <c r="B49" s="580" t="s">
        <v>518</v>
      </c>
      <c r="C49" s="580"/>
      <c r="D49" s="580"/>
      <c r="E49" s="600"/>
      <c r="F49" s="600"/>
      <c r="G49" s="600"/>
      <c r="H49" s="600"/>
      <c r="I49" s="600"/>
    </row>
    <row r="50" spans="1:11" s="207" customFormat="1" ht="20.100000000000001" customHeight="1" x14ac:dyDescent="0.25">
      <c r="A50" s="75">
        <v>31</v>
      </c>
      <c r="B50" s="580" t="s">
        <v>363</v>
      </c>
      <c r="C50" s="580"/>
      <c r="D50" s="580"/>
      <c r="E50" s="581"/>
      <c r="F50" s="581"/>
      <c r="G50" s="581"/>
      <c r="H50" s="581"/>
      <c r="I50" s="581"/>
    </row>
    <row r="51" spans="1:11" s="51" customFormat="1" ht="30" customHeight="1" x14ac:dyDescent="0.2">
      <c r="A51" s="75">
        <v>32</v>
      </c>
      <c r="B51" s="576" t="s">
        <v>178</v>
      </c>
      <c r="C51" s="577"/>
      <c r="D51" s="577"/>
      <c r="E51" s="556" t="s">
        <v>93</v>
      </c>
      <c r="F51" s="557"/>
      <c r="G51" s="557"/>
      <c r="H51" s="557"/>
      <c r="I51" s="558"/>
      <c r="J51" s="184"/>
      <c r="K51" s="103"/>
    </row>
    <row r="52" spans="1:11" s="51" customFormat="1" ht="30" customHeight="1" x14ac:dyDescent="0.2">
      <c r="A52" s="75">
        <v>33</v>
      </c>
      <c r="B52" s="576" t="s">
        <v>409</v>
      </c>
      <c r="C52" s="577"/>
      <c r="D52" s="577"/>
      <c r="E52" s="556" t="s">
        <v>93</v>
      </c>
      <c r="F52" s="557"/>
      <c r="G52" s="557"/>
      <c r="H52" s="557"/>
      <c r="I52" s="558"/>
      <c r="J52" s="103"/>
      <c r="K52" s="103"/>
    </row>
    <row r="53" spans="1:11" s="208" customFormat="1" ht="15.75" customHeight="1" x14ac:dyDescent="0.2">
      <c r="A53" s="75"/>
      <c r="B53" s="614"/>
      <c r="C53" s="614"/>
      <c r="D53" s="614"/>
      <c r="E53" s="614"/>
      <c r="F53" s="614"/>
      <c r="G53" s="614"/>
      <c r="H53" s="614"/>
      <c r="I53" s="614"/>
    </row>
    <row r="54" spans="1:11" s="174" customFormat="1" ht="20.100000000000001" customHeight="1" x14ac:dyDescent="0.25">
      <c r="A54" s="178"/>
      <c r="B54" s="554" t="s">
        <v>156</v>
      </c>
      <c r="C54" s="554"/>
      <c r="D54" s="554"/>
      <c r="E54" s="554"/>
      <c r="F54" s="554"/>
      <c r="G54" s="554"/>
      <c r="H54" s="554"/>
      <c r="I54" s="554"/>
    </row>
    <row r="55" spans="1:11" s="51" customFormat="1" ht="30" customHeight="1" x14ac:dyDescent="0.2">
      <c r="A55" s="75">
        <v>34</v>
      </c>
      <c r="B55" s="576" t="s">
        <v>239</v>
      </c>
      <c r="C55" s="577"/>
      <c r="D55" s="577"/>
      <c r="E55" s="556" t="s">
        <v>93</v>
      </c>
      <c r="F55" s="557"/>
      <c r="G55" s="557"/>
      <c r="H55" s="557"/>
      <c r="I55" s="558"/>
      <c r="J55" s="103"/>
      <c r="K55" s="103"/>
    </row>
    <row r="56" spans="1:11" s="51" customFormat="1" ht="30" customHeight="1" x14ac:dyDescent="0.2">
      <c r="A56" s="75">
        <v>35</v>
      </c>
      <c r="B56" s="576" t="s">
        <v>412</v>
      </c>
      <c r="C56" s="577"/>
      <c r="D56" s="577"/>
      <c r="E56" s="556" t="s">
        <v>93</v>
      </c>
      <c r="F56" s="557"/>
      <c r="G56" s="557"/>
      <c r="H56" s="557"/>
      <c r="I56" s="558"/>
      <c r="J56" s="103"/>
      <c r="K56" s="103"/>
    </row>
    <row r="57" spans="1:11" s="208" customFormat="1" ht="13.5" customHeight="1" x14ac:dyDescent="0.2">
      <c r="A57" s="75"/>
      <c r="B57" s="614"/>
      <c r="C57" s="614"/>
      <c r="D57" s="614"/>
      <c r="E57" s="614"/>
      <c r="F57" s="614"/>
      <c r="G57" s="614"/>
      <c r="H57" s="614"/>
      <c r="I57" s="614"/>
    </row>
    <row r="58" spans="1:11" s="202" customFormat="1" ht="20.100000000000001" customHeight="1" x14ac:dyDescent="0.25">
      <c r="A58" s="178"/>
      <c r="B58" s="615" t="s">
        <v>290</v>
      </c>
      <c r="C58" s="615"/>
      <c r="D58" s="615"/>
      <c r="E58" s="616"/>
      <c r="F58" s="616"/>
      <c r="G58" s="616"/>
      <c r="H58" s="616"/>
      <c r="I58" s="616"/>
    </row>
    <row r="59" spans="1:11" s="202" customFormat="1" ht="20.100000000000001" customHeight="1" x14ac:dyDescent="0.25">
      <c r="A59" s="75">
        <v>36</v>
      </c>
      <c r="B59" s="580" t="s">
        <v>297</v>
      </c>
      <c r="C59" s="580"/>
      <c r="D59" s="580"/>
      <c r="E59" s="600" t="s">
        <v>93</v>
      </c>
      <c r="F59" s="600"/>
      <c r="G59" s="600"/>
      <c r="H59" s="600"/>
      <c r="I59" s="600"/>
    </row>
    <row r="60" spans="1:11" s="204" customFormat="1" x14ac:dyDescent="0.2">
      <c r="A60" s="75"/>
      <c r="B60" s="553"/>
      <c r="C60" s="553"/>
      <c r="D60" s="553"/>
      <c r="E60" s="553"/>
      <c r="F60" s="553"/>
      <c r="G60" s="553"/>
      <c r="H60" s="553"/>
      <c r="I60" s="553"/>
    </row>
    <row r="61" spans="1:11" s="174" customFormat="1" ht="20.100000000000001" customHeight="1" x14ac:dyDescent="0.25">
      <c r="A61" s="178"/>
      <c r="B61" s="554" t="s">
        <v>415</v>
      </c>
      <c r="C61" s="555"/>
      <c r="D61" s="555"/>
      <c r="E61" s="555"/>
      <c r="F61" s="555"/>
      <c r="G61" s="555"/>
      <c r="H61" s="555"/>
      <c r="I61" s="555"/>
    </row>
    <row r="62" spans="1:11" s="51" customFormat="1" ht="30" customHeight="1" x14ac:dyDescent="0.2">
      <c r="A62" s="75">
        <v>37</v>
      </c>
      <c r="B62" s="559" t="s">
        <v>289</v>
      </c>
      <c r="C62" s="560"/>
      <c r="D62" s="561"/>
      <c r="E62" s="556" t="s">
        <v>93</v>
      </c>
      <c r="F62" s="557"/>
      <c r="G62" s="557"/>
      <c r="H62" s="557"/>
      <c r="I62" s="558"/>
      <c r="J62" s="103"/>
      <c r="K62" s="103"/>
    </row>
    <row r="63" spans="1:11" s="51" customFormat="1" ht="32.1" customHeight="1" x14ac:dyDescent="0.2">
      <c r="A63" s="75">
        <v>38</v>
      </c>
      <c r="B63" s="559" t="s">
        <v>303</v>
      </c>
      <c r="C63" s="560"/>
      <c r="D63" s="561"/>
      <c r="E63" s="556" t="s">
        <v>93</v>
      </c>
      <c r="F63" s="557"/>
      <c r="G63" s="557"/>
      <c r="H63" s="557"/>
      <c r="I63" s="558"/>
      <c r="J63" s="103"/>
      <c r="K63" s="103"/>
    </row>
    <row r="64" spans="1:11" s="51" customFormat="1" ht="32.1" customHeight="1" x14ac:dyDescent="0.2">
      <c r="A64" s="75">
        <v>39</v>
      </c>
      <c r="B64" s="559" t="s">
        <v>302</v>
      </c>
      <c r="C64" s="560"/>
      <c r="D64" s="561"/>
      <c r="E64" s="556" t="s">
        <v>93</v>
      </c>
      <c r="F64" s="557"/>
      <c r="G64" s="557"/>
      <c r="H64" s="557"/>
      <c r="I64" s="558"/>
      <c r="J64" s="103"/>
      <c r="K64" s="103"/>
    </row>
    <row r="65" spans="1:11" s="204" customFormat="1" x14ac:dyDescent="0.2">
      <c r="A65" s="75"/>
      <c r="B65" s="553"/>
      <c r="C65" s="553"/>
      <c r="D65" s="553"/>
      <c r="E65" s="553"/>
      <c r="F65" s="553"/>
      <c r="G65" s="553"/>
      <c r="H65" s="553"/>
      <c r="I65" s="553"/>
    </row>
    <row r="66" spans="1:11" s="203" customFormat="1" ht="20.100000000000001" customHeight="1" x14ac:dyDescent="0.25">
      <c r="A66" s="178"/>
      <c r="B66" s="554" t="s">
        <v>414</v>
      </c>
      <c r="C66" s="555"/>
      <c r="D66" s="555"/>
      <c r="E66" s="555"/>
      <c r="F66" s="555"/>
      <c r="G66" s="555"/>
      <c r="H66" s="555"/>
      <c r="I66" s="555"/>
    </row>
    <row r="67" spans="1:11" s="51" customFormat="1" ht="30" customHeight="1" x14ac:dyDescent="0.2">
      <c r="A67" s="75">
        <v>40</v>
      </c>
      <c r="B67" s="559" t="s">
        <v>408</v>
      </c>
      <c r="C67" s="560"/>
      <c r="D67" s="561"/>
      <c r="E67" s="556" t="s">
        <v>93</v>
      </c>
      <c r="F67" s="557"/>
      <c r="G67" s="557"/>
      <c r="H67" s="557"/>
      <c r="I67" s="558"/>
      <c r="J67" s="103"/>
      <c r="K67" s="103"/>
    </row>
    <row r="68" spans="1:11" s="51" customFormat="1" ht="32.1" customHeight="1" x14ac:dyDescent="0.2">
      <c r="A68" s="75">
        <v>41</v>
      </c>
      <c r="B68" s="559" t="s">
        <v>364</v>
      </c>
      <c r="C68" s="560"/>
      <c r="D68" s="561"/>
      <c r="E68" s="556" t="s">
        <v>93</v>
      </c>
      <c r="F68" s="557"/>
      <c r="G68" s="557"/>
      <c r="H68" s="557"/>
      <c r="I68" s="558"/>
      <c r="J68" s="103"/>
      <c r="K68" s="103"/>
    </row>
    <row r="69" spans="1:11" s="51" customFormat="1" ht="32.1" customHeight="1" x14ac:dyDescent="0.2">
      <c r="A69" s="75">
        <v>42</v>
      </c>
      <c r="B69" s="559" t="s">
        <v>289</v>
      </c>
      <c r="C69" s="560"/>
      <c r="D69" s="561"/>
      <c r="E69" s="556" t="s">
        <v>93</v>
      </c>
      <c r="F69" s="557"/>
      <c r="G69" s="557"/>
      <c r="H69" s="557"/>
      <c r="I69" s="558"/>
      <c r="J69" s="103"/>
      <c r="K69" s="103"/>
    </row>
    <row r="70" spans="1:11" s="204" customFormat="1" x14ac:dyDescent="0.2">
      <c r="A70" s="75"/>
      <c r="B70" s="192"/>
      <c r="C70" s="192"/>
      <c r="D70" s="192"/>
      <c r="E70" s="192"/>
      <c r="F70" s="192"/>
      <c r="G70" s="192"/>
      <c r="H70" s="192"/>
      <c r="I70" s="192"/>
    </row>
    <row r="71" spans="1:11" x14ac:dyDescent="0.2">
      <c r="B71" s="192"/>
      <c r="C71" s="192"/>
      <c r="D71" s="192"/>
      <c r="E71" s="192"/>
      <c r="F71" s="192"/>
      <c r="G71" s="192"/>
      <c r="H71" s="192"/>
      <c r="I71" s="192"/>
    </row>
    <row r="72" spans="1:11" x14ac:dyDescent="0.2">
      <c r="B72" s="192"/>
      <c r="C72" s="192"/>
      <c r="D72" s="192"/>
      <c r="E72" s="192"/>
      <c r="F72" s="192"/>
      <c r="G72" s="192"/>
      <c r="H72" s="192"/>
      <c r="I72" s="192"/>
    </row>
    <row r="73" spans="1:11" s="204" customFormat="1" ht="18" customHeight="1" x14ac:dyDescent="0.2">
      <c r="A73" s="75">
        <v>43</v>
      </c>
      <c r="B73" s="550" t="s">
        <v>175</v>
      </c>
      <c r="C73" s="551"/>
      <c r="D73" s="551"/>
      <c r="E73" s="551"/>
      <c r="F73" s="551"/>
      <c r="G73" s="552"/>
      <c r="H73" s="192"/>
      <c r="I73" s="192"/>
    </row>
    <row r="74" spans="1:11" ht="18" customHeight="1" x14ac:dyDescent="0.2">
      <c r="A74" s="75">
        <v>44</v>
      </c>
      <c r="B74" s="550" t="s">
        <v>304</v>
      </c>
      <c r="C74" s="551"/>
      <c r="D74" s="551"/>
      <c r="E74" s="551"/>
      <c r="F74" s="551"/>
      <c r="G74" s="552"/>
      <c r="H74" s="192"/>
      <c r="I74" s="192"/>
    </row>
    <row r="75" spans="1:11" ht="65.25" customHeight="1" x14ac:dyDescent="0.2">
      <c r="A75" s="75">
        <v>45</v>
      </c>
      <c r="B75" s="343" t="s">
        <v>79</v>
      </c>
      <c r="C75" s="343" t="s">
        <v>101</v>
      </c>
      <c r="D75" s="547" t="s">
        <v>395</v>
      </c>
      <c r="E75" s="548"/>
      <c r="F75" s="548"/>
      <c r="G75" s="549"/>
      <c r="H75" s="192"/>
      <c r="I75" s="192"/>
    </row>
    <row r="76" spans="1:11" ht="26.1" customHeight="1" x14ac:dyDescent="0.2">
      <c r="B76" s="188"/>
      <c r="C76" s="189"/>
      <c r="D76" s="545" t="s">
        <v>329</v>
      </c>
      <c r="E76" s="546"/>
      <c r="F76" s="546"/>
      <c r="G76" s="546"/>
      <c r="H76" s="199"/>
      <c r="I76" s="199"/>
    </row>
    <row r="77" spans="1:11" ht="26.1" customHeight="1" x14ac:dyDescent="0.2">
      <c r="B77" s="188"/>
      <c r="C77" s="189"/>
      <c r="D77" s="545" t="s">
        <v>329</v>
      </c>
      <c r="E77" s="546"/>
      <c r="F77" s="546"/>
      <c r="G77" s="546"/>
      <c r="H77" s="199"/>
      <c r="I77" s="199"/>
    </row>
    <row r="78" spans="1:11" ht="26.1" customHeight="1" x14ac:dyDescent="0.2">
      <c r="B78" s="188"/>
      <c r="C78" s="189"/>
      <c r="D78" s="545" t="s">
        <v>329</v>
      </c>
      <c r="E78" s="546"/>
      <c r="F78" s="546"/>
      <c r="G78" s="546"/>
      <c r="H78" s="199"/>
      <c r="I78" s="199"/>
    </row>
    <row r="79" spans="1:11" s="331" customFormat="1" ht="26.1" customHeight="1" x14ac:dyDescent="0.2">
      <c r="A79" s="75"/>
      <c r="B79" s="188"/>
      <c r="C79" s="189"/>
      <c r="D79" s="545" t="s">
        <v>329</v>
      </c>
      <c r="E79" s="546"/>
      <c r="F79" s="546"/>
      <c r="G79" s="546"/>
      <c r="H79" s="199"/>
      <c r="I79" s="199"/>
    </row>
    <row r="80" spans="1:11" s="331" customFormat="1" ht="26.1" customHeight="1" x14ac:dyDescent="0.2">
      <c r="A80" s="75"/>
      <c r="B80" s="188"/>
      <c r="C80" s="189"/>
      <c r="D80" s="545" t="s">
        <v>329</v>
      </c>
      <c r="E80" s="546"/>
      <c r="F80" s="546"/>
      <c r="G80" s="546"/>
      <c r="H80" s="199"/>
      <c r="I80" s="199"/>
    </row>
    <row r="81" spans="1:9" s="331" customFormat="1" ht="26.1" customHeight="1" x14ac:dyDescent="0.2">
      <c r="A81" s="75"/>
      <c r="B81" s="188"/>
      <c r="C81" s="189"/>
      <c r="D81" s="545" t="s">
        <v>329</v>
      </c>
      <c r="E81" s="546"/>
      <c r="F81" s="546"/>
      <c r="G81" s="546"/>
      <c r="H81" s="199"/>
      <c r="I81" s="199"/>
    </row>
    <row r="82" spans="1:9" s="331" customFormat="1" ht="26.1" customHeight="1" x14ac:dyDescent="0.2">
      <c r="A82" s="75"/>
      <c r="B82" s="188"/>
      <c r="C82" s="189"/>
      <c r="D82" s="545" t="s">
        <v>329</v>
      </c>
      <c r="E82" s="546"/>
      <c r="F82" s="546"/>
      <c r="G82" s="546"/>
      <c r="H82" s="199"/>
      <c r="I82" s="199"/>
    </row>
    <row r="83" spans="1:9" s="331" customFormat="1" ht="26.1" customHeight="1" x14ac:dyDescent="0.2">
      <c r="A83" s="75"/>
      <c r="B83" s="188"/>
      <c r="C83" s="189"/>
      <c r="D83" s="545" t="s">
        <v>329</v>
      </c>
      <c r="E83" s="546"/>
      <c r="F83" s="546"/>
      <c r="G83" s="546"/>
      <c r="H83" s="199"/>
      <c r="I83" s="199"/>
    </row>
    <row r="84" spans="1:9" s="331" customFormat="1" ht="26.1" customHeight="1" x14ac:dyDescent="0.2">
      <c r="A84" s="75"/>
      <c r="B84" s="188"/>
      <c r="C84" s="189"/>
      <c r="D84" s="545" t="s">
        <v>329</v>
      </c>
      <c r="E84" s="546"/>
      <c r="F84" s="546"/>
      <c r="G84" s="546"/>
      <c r="H84" s="199"/>
      <c r="I84" s="199"/>
    </row>
    <row r="85" spans="1:9" s="331" customFormat="1" ht="26.1" customHeight="1" x14ac:dyDescent="0.2">
      <c r="A85" s="75"/>
      <c r="B85" s="188"/>
      <c r="C85" s="189"/>
      <c r="D85" s="545" t="s">
        <v>329</v>
      </c>
      <c r="E85" s="546"/>
      <c r="F85" s="546"/>
      <c r="G85" s="546"/>
      <c r="H85" s="199"/>
      <c r="I85" s="199"/>
    </row>
    <row r="86" spans="1:9" s="331" customFormat="1" ht="26.1" customHeight="1" x14ac:dyDescent="0.2">
      <c r="A86" s="75"/>
      <c r="B86" s="188"/>
      <c r="C86" s="189"/>
      <c r="D86" s="545" t="s">
        <v>329</v>
      </c>
      <c r="E86" s="546"/>
      <c r="F86" s="546"/>
      <c r="G86" s="546"/>
      <c r="H86" s="199"/>
      <c r="I86" s="199"/>
    </row>
    <row r="87" spans="1:9" s="331" customFormat="1" ht="26.1" customHeight="1" x14ac:dyDescent="0.2">
      <c r="A87" s="75"/>
      <c r="B87" s="188"/>
      <c r="C87" s="189"/>
      <c r="D87" s="545" t="s">
        <v>329</v>
      </c>
      <c r="E87" s="546"/>
      <c r="F87" s="546"/>
      <c r="G87" s="546"/>
      <c r="H87" s="199"/>
      <c r="I87" s="199"/>
    </row>
    <row r="88" spans="1:9" s="331" customFormat="1" ht="26.1" customHeight="1" x14ac:dyDescent="0.2">
      <c r="A88" s="75"/>
      <c r="B88" s="188"/>
      <c r="C88" s="189"/>
      <c r="D88" s="545" t="s">
        <v>329</v>
      </c>
      <c r="E88" s="546"/>
      <c r="F88" s="546"/>
      <c r="G88" s="546"/>
      <c r="H88" s="199"/>
      <c r="I88" s="199"/>
    </row>
    <row r="89" spans="1:9" ht="26.1" customHeight="1" x14ac:dyDescent="0.2">
      <c r="B89" s="188"/>
      <c r="C89" s="189"/>
      <c r="D89" s="545" t="s">
        <v>329</v>
      </c>
      <c r="E89" s="546"/>
      <c r="F89" s="546"/>
      <c r="G89" s="546"/>
      <c r="H89" s="199"/>
      <c r="I89" s="199"/>
    </row>
    <row r="90" spans="1:9" s="201" customFormat="1" ht="26.1" customHeight="1" x14ac:dyDescent="0.2">
      <c r="A90" s="75"/>
      <c r="B90" s="188"/>
      <c r="C90" s="189"/>
      <c r="D90" s="545" t="s">
        <v>329</v>
      </c>
      <c r="E90" s="546"/>
      <c r="F90" s="546"/>
      <c r="G90" s="546"/>
      <c r="H90" s="199"/>
      <c r="I90" s="199"/>
    </row>
    <row r="91" spans="1:9" s="201" customFormat="1" ht="26.1" customHeight="1" x14ac:dyDescent="0.2">
      <c r="A91" s="75"/>
      <c r="B91" s="188"/>
      <c r="C91" s="189"/>
      <c r="D91" s="545" t="s">
        <v>329</v>
      </c>
      <c r="E91" s="546"/>
      <c r="F91" s="546"/>
      <c r="G91" s="546"/>
      <c r="H91" s="199"/>
      <c r="I91" s="199"/>
    </row>
    <row r="92" spans="1:9" ht="26.1" customHeight="1" x14ac:dyDescent="0.2">
      <c r="B92" s="188"/>
      <c r="C92" s="189"/>
      <c r="D92" s="545" t="s">
        <v>329</v>
      </c>
      <c r="E92" s="546"/>
      <c r="F92" s="546"/>
      <c r="G92" s="546"/>
      <c r="H92" s="199"/>
      <c r="I92" s="199"/>
    </row>
    <row r="93" spans="1:9" ht="26.1" customHeight="1" x14ac:dyDescent="0.2">
      <c r="B93" s="188"/>
      <c r="C93" s="189"/>
      <c r="D93" s="545" t="s">
        <v>329</v>
      </c>
      <c r="E93" s="546"/>
      <c r="F93" s="546"/>
      <c r="G93" s="546"/>
      <c r="H93" s="199"/>
      <c r="I93" s="199"/>
    </row>
    <row r="94" spans="1:9" ht="26.1" customHeight="1" x14ac:dyDescent="0.2">
      <c r="B94" s="188"/>
      <c r="C94" s="189"/>
      <c r="D94" s="545" t="s">
        <v>329</v>
      </c>
      <c r="E94" s="546"/>
      <c r="F94" s="546"/>
      <c r="G94" s="546"/>
      <c r="H94" s="199"/>
      <c r="I94" s="199"/>
    </row>
    <row r="95" spans="1:9" ht="26.1" customHeight="1" x14ac:dyDescent="0.2">
      <c r="B95" s="190"/>
      <c r="C95" s="191"/>
      <c r="D95" s="545" t="s">
        <v>329</v>
      </c>
      <c r="E95" s="546"/>
      <c r="F95" s="546"/>
      <c r="G95" s="546"/>
      <c r="H95" s="199"/>
      <c r="I95" s="199"/>
    </row>
    <row r="96" spans="1:9" ht="26.1" customHeight="1" x14ac:dyDescent="0.2">
      <c r="B96" s="344" t="s">
        <v>128</v>
      </c>
      <c r="C96" s="345">
        <f>SUM(C76:C95)</f>
        <v>0</v>
      </c>
      <c r="D96" s="345"/>
      <c r="E96" s="345"/>
      <c r="F96" s="345"/>
      <c r="G96" s="346"/>
      <c r="H96" s="192"/>
      <c r="I96" s="192"/>
    </row>
    <row r="97" spans="1:16" ht="26.1" customHeight="1" x14ac:dyDescent="0.2">
      <c r="B97" s="91"/>
      <c r="C97" s="91"/>
      <c r="D97" s="91"/>
      <c r="E97" s="92"/>
      <c r="F97" s="93"/>
      <c r="G97" s="93"/>
      <c r="H97" s="93"/>
      <c r="I97" s="93"/>
    </row>
    <row r="98" spans="1:16" ht="15" x14ac:dyDescent="0.2">
      <c r="B98" s="95"/>
      <c r="C98" s="95"/>
      <c r="D98" s="95"/>
      <c r="P98" s="51"/>
    </row>
    <row r="99" spans="1:16" ht="15" x14ac:dyDescent="0.2">
      <c r="B99" s="95"/>
      <c r="C99" s="95"/>
      <c r="D99" s="95"/>
      <c r="P99" s="51"/>
    </row>
    <row r="101" spans="1:16" ht="15.75" thickBot="1" x14ac:dyDescent="0.25">
      <c r="A101" s="75">
        <v>46</v>
      </c>
      <c r="B101" s="51" t="s">
        <v>126</v>
      </c>
    </row>
    <row r="102" spans="1:16" ht="12.75" customHeight="1" x14ac:dyDescent="0.2">
      <c r="B102" s="562" t="s">
        <v>180</v>
      </c>
    </row>
    <row r="103" spans="1:16" ht="12.75" customHeight="1" x14ac:dyDescent="0.2">
      <c r="B103" s="563"/>
    </row>
    <row r="104" spans="1:16" ht="12.75" customHeight="1" x14ac:dyDescent="0.2">
      <c r="B104" s="563"/>
    </row>
    <row r="105" spans="1:16" ht="12.75" customHeight="1" x14ac:dyDescent="0.2">
      <c r="B105" s="563"/>
    </row>
    <row r="106" spans="1:16" ht="12.75" customHeight="1" x14ac:dyDescent="0.2">
      <c r="B106" s="563"/>
    </row>
    <row r="107" spans="1:16" ht="33" customHeight="1" thickBot="1" x14ac:dyDescent="0.25">
      <c r="B107" s="564"/>
    </row>
    <row r="108" spans="1:16" ht="12.75" customHeight="1" x14ac:dyDescent="0.2">
      <c r="B108" s="179"/>
      <c r="C108" s="2"/>
    </row>
    <row r="109" spans="1:16" ht="12.75" customHeight="1" x14ac:dyDescent="0.2">
      <c r="B109" s="179"/>
    </row>
    <row r="110" spans="1:16" ht="12.75" customHeight="1" x14ac:dyDescent="0.2">
      <c r="B110" s="179"/>
    </row>
  </sheetData>
  <sheetProtection password="C8C7" sheet="1" objects="1" scenarios="1"/>
  <mergeCells count="131">
    <mergeCell ref="E51:I51"/>
    <mergeCell ref="B59:D59"/>
    <mergeCell ref="E59:I59"/>
    <mergeCell ref="E42:I42"/>
    <mergeCell ref="B44:D44"/>
    <mergeCell ref="E44:I44"/>
    <mergeCell ref="B54:I54"/>
    <mergeCell ref="B45:D45"/>
    <mergeCell ref="E45:I45"/>
    <mergeCell ref="E46:I46"/>
    <mergeCell ref="B46:D46"/>
    <mergeCell ref="B48:I48"/>
    <mergeCell ref="B47:I47"/>
    <mergeCell ref="E49:I49"/>
    <mergeCell ref="B50:D50"/>
    <mergeCell ref="E52:I52"/>
    <mergeCell ref="B52:D52"/>
    <mergeCell ref="B53:I53"/>
    <mergeCell ref="B56:D56"/>
    <mergeCell ref="E56:I56"/>
    <mergeCell ref="B58:D58"/>
    <mergeCell ref="E58:I58"/>
    <mergeCell ref="B57:I57"/>
    <mergeCell ref="B29:D29"/>
    <mergeCell ref="E29:I29"/>
    <mergeCell ref="B24:D24"/>
    <mergeCell ref="E40:I40"/>
    <mergeCell ref="E36:I36"/>
    <mergeCell ref="E37:I37"/>
    <mergeCell ref="B37:D37"/>
    <mergeCell ref="B38:D38"/>
    <mergeCell ref="B42:D42"/>
    <mergeCell ref="B28:D28"/>
    <mergeCell ref="E28:I28"/>
    <mergeCell ref="E30:I30"/>
    <mergeCell ref="B30:D30"/>
    <mergeCell ref="E23:I23"/>
    <mergeCell ref="B20:D20"/>
    <mergeCell ref="E20:I20"/>
    <mergeCell ref="B21:D21"/>
    <mergeCell ref="E21:I21"/>
    <mergeCell ref="B22:D22"/>
    <mergeCell ref="B23:D23"/>
    <mergeCell ref="E38:I38"/>
    <mergeCell ref="B32:I32"/>
    <mergeCell ref="B33:D33"/>
    <mergeCell ref="E33:I33"/>
    <mergeCell ref="E34:I34"/>
    <mergeCell ref="B34:D34"/>
    <mergeCell ref="B35:D35"/>
    <mergeCell ref="E35:I35"/>
    <mergeCell ref="B26:D26"/>
    <mergeCell ref="B31:D31"/>
    <mergeCell ref="E26:I26"/>
    <mergeCell ref="E31:I31"/>
    <mergeCell ref="B27:D27"/>
    <mergeCell ref="E27:I27"/>
    <mergeCell ref="B25:D25"/>
    <mergeCell ref="E25:I25"/>
    <mergeCell ref="E24:I24"/>
    <mergeCell ref="B4:E4"/>
    <mergeCell ref="B10:G10"/>
    <mergeCell ref="E14:I14"/>
    <mergeCell ref="B15:D15"/>
    <mergeCell ref="E15:I15"/>
    <mergeCell ref="B13:I13"/>
    <mergeCell ref="B5:E5"/>
    <mergeCell ref="B6:F6"/>
    <mergeCell ref="E22:I22"/>
    <mergeCell ref="B16:D16"/>
    <mergeCell ref="B14:D14"/>
    <mergeCell ref="E16:I16"/>
    <mergeCell ref="B17:D17"/>
    <mergeCell ref="E17:I17"/>
    <mergeCell ref="B18:D18"/>
    <mergeCell ref="E18:I18"/>
    <mergeCell ref="B19:D19"/>
    <mergeCell ref="E19:I19"/>
    <mergeCell ref="B102:B107"/>
    <mergeCell ref="B39:D39"/>
    <mergeCell ref="B36:D36"/>
    <mergeCell ref="B40:D40"/>
    <mergeCell ref="E39:I39"/>
    <mergeCell ref="B41:D41"/>
    <mergeCell ref="E41:I41"/>
    <mergeCell ref="B55:D55"/>
    <mergeCell ref="E55:I55"/>
    <mergeCell ref="D92:G92"/>
    <mergeCell ref="D93:G93"/>
    <mergeCell ref="B62:D62"/>
    <mergeCell ref="B63:D63"/>
    <mergeCell ref="E62:I62"/>
    <mergeCell ref="B43:D43"/>
    <mergeCell ref="E43:I43"/>
    <mergeCell ref="B51:D51"/>
    <mergeCell ref="B49:D49"/>
    <mergeCell ref="D94:G94"/>
    <mergeCell ref="D95:G95"/>
    <mergeCell ref="B64:D64"/>
    <mergeCell ref="E64:I64"/>
    <mergeCell ref="E50:I50"/>
    <mergeCell ref="D77:G77"/>
    <mergeCell ref="B73:G73"/>
    <mergeCell ref="B60:I60"/>
    <mergeCell ref="B65:I65"/>
    <mergeCell ref="B61:I61"/>
    <mergeCell ref="E63:I63"/>
    <mergeCell ref="B74:G74"/>
    <mergeCell ref="D79:G79"/>
    <mergeCell ref="D80:G80"/>
    <mergeCell ref="D81:G81"/>
    <mergeCell ref="B66:I66"/>
    <mergeCell ref="B67:D67"/>
    <mergeCell ref="E67:I67"/>
    <mergeCell ref="B68:D68"/>
    <mergeCell ref="E68:I68"/>
    <mergeCell ref="B69:D69"/>
    <mergeCell ref="E69:I69"/>
    <mergeCell ref="D86:G86"/>
    <mergeCell ref="D87:G87"/>
    <mergeCell ref="D88:G88"/>
    <mergeCell ref="D78:G78"/>
    <mergeCell ref="D89:G89"/>
    <mergeCell ref="D76:G76"/>
    <mergeCell ref="D75:G75"/>
    <mergeCell ref="D90:G90"/>
    <mergeCell ref="D91:G91"/>
    <mergeCell ref="D82:G82"/>
    <mergeCell ref="D83:G83"/>
    <mergeCell ref="D84:G84"/>
    <mergeCell ref="D85:G85"/>
  </mergeCells>
  <phoneticPr fontId="7" type="noConversion"/>
  <conditionalFormatting sqref="B37:I37">
    <cfRule type="expression" dxfId="98" priority="5">
      <formula>$E$36="Nein"</formula>
    </cfRule>
    <cfRule type="expression" dxfId="97" priority="20">
      <formula>$E$36="----------------"</formula>
    </cfRule>
    <cfRule type="expression" dxfId="96" priority="21">
      <formula>$E$36="Nein"</formula>
    </cfRule>
  </conditionalFormatting>
  <conditionalFormatting sqref="B39:I41">
    <cfRule type="expression" dxfId="95" priority="10">
      <formula>$E$42&gt;0</formula>
    </cfRule>
  </conditionalFormatting>
  <conditionalFormatting sqref="B42:I42">
    <cfRule type="expression" dxfId="94" priority="11">
      <formula>$E$41&gt;0</formula>
    </cfRule>
    <cfRule type="expression" dxfId="93" priority="12">
      <formula>$E$40&gt;0</formula>
    </cfRule>
    <cfRule type="expression" dxfId="92" priority="13">
      <formula>$E$39&gt;0</formula>
    </cfRule>
  </conditionalFormatting>
  <conditionalFormatting sqref="B46:I46">
    <cfRule type="expression" dxfId="91" priority="3">
      <formula>$E$45="kein Standort"</formula>
    </cfRule>
  </conditionalFormatting>
  <conditionalFormatting sqref="E30:I30">
    <cfRule type="expression" dxfId="90" priority="2">
      <formula>$E$27=$E$28</formula>
    </cfRule>
  </conditionalFormatting>
  <conditionalFormatting sqref="E29:I29">
    <cfRule type="expression" dxfId="89" priority="1">
      <formula>$E$27&lt;&gt;$E$28</formula>
    </cfRule>
  </conditionalFormatting>
  <dataValidations xWindow="654" yWindow="521" count="11">
    <dataValidation operator="equal" allowBlank="1" showInputMessage="1" promptTitle="Schließtage" prompt="ohne Fortbildungstage" sqref="WVI31:WVI40 IW31:IW40 SS31:SS40 ACO31:ACO40 AMK31:AMK40 AWG31:AWG40 BGC31:BGC40 BPY31:BPY40 BZU31:BZU40 CJQ31:CJQ40 CTM31:CTM40 DDI31:DDI40 DNE31:DNE40 DXA31:DXA40 EGW31:EGW40 EQS31:EQS40 FAO31:FAO40 FKK31:FKK40 FUG31:FUG40 GEC31:GEC40 GNY31:GNY40 GXU31:GXU40 HHQ31:HHQ40 HRM31:HRM40 IBI31:IBI40 ILE31:ILE40 IVA31:IVA40 JEW31:JEW40 JOS31:JOS40 JYO31:JYO40 KIK31:KIK40 KSG31:KSG40 LCC31:LCC40 LLY31:LLY40 LVU31:LVU40 MFQ31:MFQ40 MPM31:MPM40 MZI31:MZI40 NJE31:NJE40 NTA31:NTA40 OCW31:OCW40 OMS31:OMS40 OWO31:OWO40 PGK31:PGK40 PQG31:PQG40 QAC31:QAC40 QJY31:QJY40 QTU31:QTU40 RDQ31:RDQ40 RNM31:RNM40 RXI31:RXI40 SHE31:SHE40 SRA31:SRA40 TAW31:TAW40 TKS31:TKS40 TUO31:TUO40 UEK31:UEK40 UOG31:UOG40 UYC31:UYC40 VHY31:VHY40 VRU31:VRU40 WBQ31:WBQ40 WLM31:WLM40">
      <formula1>0</formula1>
      <formula2>0</formula2>
    </dataValidation>
    <dataValidation operator="equal" allowBlank="1" showErrorMessage="1" promptTitle="BayKiBiG-Förderung" sqref="E26 WLM26:WLM30 WBQ26:WBQ30 VRU26:VRU30 VHY26:VHY30 UYC26:UYC30 UOG26:UOG30 UEK26:UEK30 TUO26:TUO30 TKS26:TKS30 TAW26:TAW30 SRA26:SRA30 SHE26:SHE30 RXI26:RXI30 RNM26:RNM30 RDQ26:RDQ30 QTU26:QTU30 QJY26:QJY30 QAC26:QAC30 PQG26:PQG30 PGK26:PGK30 OWO26:OWO30 OMS26:OMS30 OCW26:OCW30 NTA26:NTA30 NJE26:NJE30 MZI26:MZI30 MPM26:MPM30 MFQ26:MFQ30 LVU26:LVU30 LLY26:LLY30 LCC26:LCC30 KSG26:KSG30 KIK26:KIK30 JYO26:JYO30 JOS26:JOS30 JEW26:JEW30 IVA26:IVA30 ILE26:ILE30 IBI26:IBI30 HRM26:HRM30 HHQ26:HHQ30 GXU26:GXU30 GNY26:GNY30 GEC26:GEC30 FUG26:FUG30 FKK26:FKK30 FAO26:FAO30 EQS26:EQS30 EGW26:EGW30 DXA26:DXA30 DNE26:DNE30 DDI26:DDI30 CTM26:CTM30 CJQ26:CJQ30 BZU26:BZU30 BPY26:BPY30 BGC26:BGC30 AWG26:AWG30 AMK26:AMK30 ACO26:ACO30 SS26:SS30 IW26:IW30 WVI26:WVI30">
      <formula1>0</formula1>
      <formula2>0</formula2>
    </dataValidation>
    <dataValidation operator="equal" allowBlank="1" showInputMessage="1" promptTitle="Schließtage" sqref="E39:E40"/>
    <dataValidation operator="equal" allowBlank="1" promptTitle="Schließtage" sqref="E33:I33 E29:E31 F29:I29 F31:I31"/>
    <dataValidation type="custom" errorStyle="information" operator="equal" allowBlank="1" showErrorMessage="1" error="Keine Förderung nach MFF möglich, Anstellungsschlüssel 1:10,5 nicht eingehalten" promptTitle="Schließtage" sqref="E34:I34">
      <formula1>E34&gt;E33*5/10.5</formula1>
    </dataValidation>
    <dataValidation type="list" allowBlank="1" showInputMessage="1" showErrorMessage="1" sqref="D76:G95">
      <formula1>"'------------------,kfkont - Gemeinschaftsunterkunft/ Einrichtung der Wohnungslosenhilfe, kfkont - BSA Nachweis"</formula1>
    </dataValidation>
    <dataValidation errorStyle="information" operator="equal" allowBlank="1" showErrorMessage="1" error="Keine Förderung nach MFF möglich, Anstellungsschlüssel 1:10,5 nicht eingehalten" promptTitle="Schließtage" sqref="E35:I35 E37:E38 F37:I37"/>
    <dataValidation type="whole" allowBlank="1" showInputMessage="1" showErrorMessage="1" error="Nur Zahlen zwischen 1 und 12 eintragen." sqref="C76:C95">
      <formula1>1</formula1>
      <formula2>12</formula2>
    </dataValidation>
    <dataValidation type="list" operator="equal" allowBlank="1" prompt="--_x000a_ja_x000a_nein" sqref="E66:E69 E61:E64 E51:E52 E55:E56">
      <formula1>"ja,nein"</formula1>
    </dataValidation>
    <dataValidation allowBlank="1" sqref="E50:I50"/>
    <dataValidation type="list" operator="equal" allowBlank="1" sqref="E45:I45">
      <formula1>"kein Standort,Standort 50%,Standort 70%, Standort 70% - Übergangsjahr"</formula1>
    </dataValidation>
  </dataValidations>
  <pageMargins left="0.31496062992125984" right="0.23622047244094491" top="1.2598425196850394" bottom="0.74803149606299213" header="0.31496062992125984" footer="0.31496062992125984"/>
  <pageSetup paperSize="9" scale="54" fitToWidth="2" fitToHeight="2" orientation="portrait" r:id="rId1"/>
  <headerFooter>
    <oddHeader>&amp;R&amp;G</oddHeader>
    <oddFooter>&amp;LStand: 30.06.2020&amp;CMFF-Endabrechnung 2019
&amp;A
&amp;P&amp;R&amp;G</oddFooter>
  </headerFooter>
  <rowBreaks count="1" manualBreakCount="1">
    <brk id="60" min="1" max="8" man="1"/>
  </rowBreaks>
  <legacyDrawingHF r:id="rId2"/>
  <extLst>
    <ext xmlns:x14="http://schemas.microsoft.com/office/spreadsheetml/2009/9/main" uri="{CCE6A557-97BC-4b89-ADB6-D9C93CAAB3DF}">
      <x14:dataValidations xmlns:xm="http://schemas.microsoft.com/office/excel/2006/main" xWindow="654" yWindow="521" count="3">
        <x14:dataValidation type="list" allowBlank="1" showInputMessage="1" showErrorMessage="1">
          <x14:formula1>
            <xm:f>Tabelle2!$F$12:$F$23</xm:f>
          </x14:formula1>
          <xm:sqref>E27:E28</xm:sqref>
        </x14:dataValidation>
        <x14:dataValidation type="list" errorStyle="information" operator="equal" allowBlank="1" showErrorMessage="1" error="Keine Förderung nach MFF möglich, Anstellungsschlüssel 1:10,5 nicht eingehalten" promptTitle="Schließtage">
          <x14:formula1>
            <xm:f>Tabelle2!$A$3:$A$5</xm:f>
          </x14:formula1>
          <xm:sqref>E36:I36</xm:sqref>
        </x14:dataValidation>
        <x14:dataValidation type="list" allowBlank="1" showInputMessage="1" showErrorMessage="1">
          <x14:formula1>
            <xm:f>Tabelle2!$A$4:$A$5</xm:f>
          </x14:formula1>
          <xm:sqref>E59:I59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AE204"/>
  <sheetViews>
    <sheetView topLeftCell="A10" zoomScale="80" zoomScaleNormal="80" zoomScaleSheetLayoutView="80" zoomScalePageLayoutView="87" workbookViewId="0">
      <pane xSplit="8" ySplit="10" topLeftCell="I20" activePane="bottomRight" state="frozen"/>
      <selection activeCell="B77" sqref="B77:S77"/>
      <selection pane="topRight" activeCell="B77" sqref="B77:S77"/>
      <selection pane="bottomLeft" activeCell="B77" sqref="B77:S77"/>
      <selection pane="bottomRight" activeCell="G31" sqref="G31"/>
    </sheetView>
  </sheetViews>
  <sheetFormatPr baseColWidth="10" defaultColWidth="11.5703125" defaultRowHeight="12.75" x14ac:dyDescent="0.2"/>
  <cols>
    <col min="1" max="1" width="3.85546875" style="101" customWidth="1"/>
    <col min="2" max="2" width="15.85546875" style="176" customWidth="1"/>
    <col min="3" max="3" width="32.7109375" style="176" customWidth="1"/>
    <col min="4" max="4" width="20.28515625" style="176" customWidth="1"/>
    <col min="5" max="5" width="18.7109375" style="176" customWidth="1"/>
    <col min="6" max="6" width="20" style="176" customWidth="1"/>
    <col min="7" max="8" width="18.7109375" style="176" customWidth="1"/>
    <col min="9" max="9" width="20.140625" style="176" customWidth="1"/>
    <col min="10" max="10" width="25.7109375" style="176" customWidth="1"/>
    <col min="11" max="11" width="14.7109375" style="176" customWidth="1"/>
    <col min="12" max="12" width="17.42578125" style="176" customWidth="1"/>
    <col min="13" max="13" width="23.42578125" style="176" customWidth="1"/>
    <col min="14" max="14" width="19.28515625" style="176" customWidth="1"/>
    <col min="15" max="19" width="19.28515625" style="229" customWidth="1"/>
    <col min="20" max="20" width="21.7109375" style="229" customWidth="1"/>
    <col min="21" max="21" width="34.28515625" style="176" customWidth="1"/>
    <col min="22" max="22" width="17.5703125" style="176" customWidth="1"/>
    <col min="23" max="23" width="23" style="176" customWidth="1"/>
    <col min="24" max="26" width="11.5703125" style="176"/>
    <col min="27" max="27" width="23.85546875" style="176" hidden="1" customWidth="1"/>
    <col min="28" max="28" width="24.28515625" style="176" hidden="1" customWidth="1"/>
    <col min="29" max="29" width="20.42578125" style="176" hidden="1" customWidth="1"/>
    <col min="30" max="30" width="21.42578125" style="176" hidden="1" customWidth="1"/>
    <col min="31" max="31" width="21.28515625" style="176" hidden="1" customWidth="1"/>
    <col min="32" max="32" width="11.5703125" style="176" customWidth="1"/>
    <col min="33" max="16384" width="11.5703125" style="176"/>
  </cols>
  <sheetData>
    <row r="2" spans="1:21" ht="20.100000000000001" customHeight="1" x14ac:dyDescent="0.2">
      <c r="B2" s="679" t="s">
        <v>26</v>
      </c>
      <c r="C2" s="679"/>
      <c r="D2" s="680">
        <f>Grunddaten_Antrag!E14</f>
        <v>0</v>
      </c>
      <c r="E2" s="681"/>
      <c r="F2" s="681"/>
      <c r="G2" s="681"/>
      <c r="H2" s="682"/>
    </row>
    <row r="3" spans="1:21" ht="20.100000000000001" customHeight="1" x14ac:dyDescent="0.2">
      <c r="B3" s="679" t="s">
        <v>27</v>
      </c>
      <c r="C3" s="679"/>
      <c r="D3" s="680">
        <f>Grunddaten_Antrag!E22</f>
        <v>0</v>
      </c>
      <c r="E3" s="681"/>
      <c r="F3" s="681"/>
      <c r="G3" s="681"/>
      <c r="H3" s="682"/>
    </row>
    <row r="4" spans="1:21" ht="20.100000000000001" customHeight="1" x14ac:dyDescent="0.2">
      <c r="B4" s="679" t="s">
        <v>28</v>
      </c>
      <c r="C4" s="679"/>
      <c r="D4" s="680">
        <f>Grunddaten_Antrag!E24</f>
        <v>0</v>
      </c>
      <c r="E4" s="681"/>
      <c r="F4" s="681"/>
      <c r="G4" s="681"/>
      <c r="H4" s="682"/>
    </row>
    <row r="5" spans="1:21" ht="20.100000000000001" customHeight="1" x14ac:dyDescent="0.2">
      <c r="B5" s="679" t="s">
        <v>285</v>
      </c>
      <c r="C5" s="679"/>
      <c r="D5" s="680">
        <f>Grunddaten_Antrag!E49</f>
        <v>0</v>
      </c>
      <c r="E5" s="681"/>
      <c r="F5" s="681"/>
      <c r="G5" s="681"/>
      <c r="H5" s="682"/>
    </row>
    <row r="6" spans="1:21" ht="15" x14ac:dyDescent="0.2">
      <c r="B6" s="51"/>
      <c r="C6" s="51"/>
      <c r="D6" s="51"/>
      <c r="E6" s="51"/>
      <c r="F6" s="51"/>
      <c r="G6" s="51"/>
    </row>
    <row r="7" spans="1:21" ht="15.75" x14ac:dyDescent="0.25">
      <c r="B7" s="683" t="str">
        <f>Grunddaten_Antrag!$B$9</f>
        <v>Münchner Förderformel (MFF);</v>
      </c>
      <c r="C7" s="683"/>
      <c r="D7" s="683"/>
      <c r="E7" s="51"/>
      <c r="F7" s="51"/>
      <c r="G7" s="51"/>
    </row>
    <row r="8" spans="1:21" ht="15.75" x14ac:dyDescent="0.2">
      <c r="B8" s="684" t="str">
        <f>Grunddaten_Antrag!B10</f>
        <v>Endabrechnung auf Leistungen für den Bewilligungszeitraum (BWZ) 1. Januar - 31. Dezember 2019</v>
      </c>
      <c r="C8" s="684"/>
      <c r="D8" s="684"/>
      <c r="E8" s="684"/>
      <c r="F8" s="684"/>
      <c r="G8" s="684"/>
    </row>
    <row r="9" spans="1:21" ht="15.75" x14ac:dyDescent="0.2">
      <c r="B9" s="172" t="str">
        <f>Grunddaten_Antrag!B11</f>
        <v>Teil 2</v>
      </c>
      <c r="C9" s="172"/>
      <c r="D9" s="172"/>
      <c r="E9" s="172"/>
      <c r="F9" s="172"/>
      <c r="G9" s="172"/>
    </row>
    <row r="12" spans="1:21" ht="35.1" customHeight="1" thickBot="1" x14ac:dyDescent="0.25">
      <c r="A12" s="101">
        <v>47</v>
      </c>
      <c r="B12" s="664" t="s">
        <v>150</v>
      </c>
      <c r="C12" s="665"/>
      <c r="D12" s="665"/>
      <c r="E12" s="665"/>
      <c r="F12" s="666"/>
      <c r="G12" s="651">
        <f>Grunddaten_Antrag!E33*5/10.5</f>
        <v>0</v>
      </c>
      <c r="H12" s="651"/>
      <c r="I12" s="48"/>
      <c r="J12" s="175"/>
      <c r="K12" s="175"/>
      <c r="L12" s="175"/>
      <c r="M12" s="175"/>
      <c r="N12" s="175"/>
      <c r="O12" s="228"/>
      <c r="P12" s="228"/>
      <c r="Q12" s="228"/>
      <c r="R12" s="228"/>
      <c r="S12" s="228"/>
      <c r="T12" s="228"/>
      <c r="U12" s="175"/>
    </row>
    <row r="13" spans="1:21" ht="35.1" customHeight="1" thickBot="1" x14ac:dyDescent="0.25">
      <c r="A13" s="101">
        <v>48</v>
      </c>
      <c r="B13" s="664" t="s">
        <v>102</v>
      </c>
      <c r="C13" s="665"/>
      <c r="D13" s="665"/>
      <c r="E13" s="665"/>
      <c r="F13" s="666"/>
      <c r="G13" s="651">
        <f>G12/2</f>
        <v>0</v>
      </c>
      <c r="H13" s="651"/>
      <c r="I13" s="48"/>
      <c r="J13" s="175"/>
      <c r="K13" s="175"/>
      <c r="L13" s="175"/>
      <c r="M13" s="632" t="s">
        <v>458</v>
      </c>
      <c r="N13" s="633"/>
      <c r="O13" s="633"/>
      <c r="P13" s="633"/>
      <c r="Q13" s="634"/>
      <c r="R13" s="228"/>
      <c r="S13" s="228"/>
      <c r="T13" s="228"/>
      <c r="U13" s="175"/>
    </row>
    <row r="14" spans="1:21" ht="35.1" customHeight="1" x14ac:dyDescent="0.2">
      <c r="A14" s="101">
        <v>49</v>
      </c>
      <c r="B14" s="664" t="s">
        <v>103</v>
      </c>
      <c r="C14" s="665"/>
      <c r="D14" s="665"/>
      <c r="E14" s="665"/>
      <c r="F14" s="666"/>
      <c r="G14" s="651" t="str">
        <f>IF(Grunddaten_Antrag!E35&gt;=Personal!G13,"Fachkraftquote erfüllt","Fachkraftquote nicht erfüllt")</f>
        <v>Fachkraftquote erfüllt</v>
      </c>
      <c r="H14" s="651"/>
      <c r="I14" s="48"/>
      <c r="J14" s="175"/>
      <c r="K14" s="175"/>
      <c r="L14" s="175"/>
      <c r="M14" s="268" t="s">
        <v>194</v>
      </c>
      <c r="N14" s="269" t="s">
        <v>195</v>
      </c>
      <c r="O14" s="269" t="s">
        <v>196</v>
      </c>
      <c r="P14" s="269" t="s">
        <v>326</v>
      </c>
      <c r="Q14" s="270" t="s">
        <v>198</v>
      </c>
      <c r="R14" s="228"/>
      <c r="S14" s="228"/>
      <c r="T14" s="228"/>
      <c r="U14" s="175"/>
    </row>
    <row r="15" spans="1:21" ht="35.1" customHeight="1" x14ac:dyDescent="0.2">
      <c r="A15" s="101">
        <v>50</v>
      </c>
      <c r="B15" s="664" t="s">
        <v>105</v>
      </c>
      <c r="C15" s="665"/>
      <c r="D15" s="665"/>
      <c r="E15" s="665"/>
      <c r="F15" s="666"/>
      <c r="G15" s="651">
        <f>Grunddaten_Antrag!E37/10.5*11</f>
        <v>0</v>
      </c>
      <c r="H15" s="651"/>
      <c r="I15" s="48"/>
      <c r="J15" s="48"/>
      <c r="K15" s="641" t="s">
        <v>283</v>
      </c>
      <c r="L15" s="175"/>
      <c r="M15" s="279">
        <f>'Beantragte MFF-Förderung'!D13</f>
        <v>0</v>
      </c>
      <c r="N15" s="280">
        <f>'Beantragte MFF-Förderung'!D14</f>
        <v>0</v>
      </c>
      <c r="O15" s="280">
        <f>'Beantragte MFF-Förderung'!D16</f>
        <v>0</v>
      </c>
      <c r="P15" s="280">
        <f>'Beantragte MFF-Förderung'!D17</f>
        <v>0</v>
      </c>
      <c r="Q15" s="281">
        <f>'Beantragte MFF-Förderung'!D18</f>
        <v>0</v>
      </c>
      <c r="R15" s="228"/>
      <c r="S15" s="228"/>
      <c r="T15" s="228"/>
      <c r="U15" s="175"/>
    </row>
    <row r="16" spans="1:21" ht="35.1" customHeight="1" x14ac:dyDescent="0.2">
      <c r="A16" s="101">
        <v>51</v>
      </c>
      <c r="B16" s="664" t="s">
        <v>107</v>
      </c>
      <c r="C16" s="665"/>
      <c r="D16" s="665"/>
      <c r="E16" s="665"/>
      <c r="F16" s="666"/>
      <c r="G16" s="651" t="str">
        <f>IF(Grunddaten_Antrag!E35&gt;=Personal!G15,"Fachkraftquote erfüllt","Fachkraftquote nicht erfüllt")</f>
        <v>Fachkraftquote erfüllt</v>
      </c>
      <c r="H16" s="651"/>
      <c r="I16" s="48"/>
      <c r="J16" s="48"/>
      <c r="K16" s="642"/>
      <c r="L16" s="175"/>
      <c r="M16" s="676" t="s">
        <v>365</v>
      </c>
      <c r="N16" s="677"/>
      <c r="O16" s="677"/>
      <c r="P16" s="677"/>
      <c r="Q16" s="678"/>
      <c r="R16" s="228"/>
      <c r="S16" s="228"/>
      <c r="T16" s="228"/>
      <c r="U16" s="175"/>
    </row>
    <row r="17" spans="1:23" ht="45" customHeight="1" thickBot="1" x14ac:dyDescent="0.25">
      <c r="A17" s="101">
        <v>52</v>
      </c>
      <c r="B17" s="667" t="s">
        <v>132</v>
      </c>
      <c r="C17" s="668"/>
      <c r="D17" s="668"/>
      <c r="E17" s="668"/>
      <c r="F17" s="669"/>
      <c r="G17" s="651">
        <f>Grunddaten_Antrag!E34-Personal!G12</f>
        <v>0</v>
      </c>
      <c r="H17" s="651"/>
      <c r="I17" s="278" t="str">
        <f>IF(OR(S145&lt;= G17,G17=0),"Korrekt","Zu viele Personalwochenstun-den verteilt")</f>
        <v>Korrekt</v>
      </c>
      <c r="J17" s="127"/>
      <c r="K17" s="131">
        <f>G17-S145</f>
        <v>0</v>
      </c>
      <c r="L17" s="175"/>
      <c r="M17" s="282">
        <f>'Beantragte MFF-Förderung'!E13</f>
        <v>0</v>
      </c>
      <c r="N17" s="283">
        <f>'Beantragte MFF-Förderung'!E14+'Beantragte MFF-Förderung'!E15</f>
        <v>0</v>
      </c>
      <c r="O17" s="283">
        <f>'Beantragte MFF-Förderung'!E16</f>
        <v>0</v>
      </c>
      <c r="P17" s="283">
        <f>'Beantragte MFF-Förderung'!E17</f>
        <v>0</v>
      </c>
      <c r="Q17" s="284">
        <f>'Beantragte MFF-Förderung'!E18</f>
        <v>0</v>
      </c>
      <c r="R17" s="228"/>
      <c r="S17" s="228"/>
      <c r="T17" s="228"/>
      <c r="U17" s="175"/>
    </row>
    <row r="18" spans="1:23" ht="35.1" customHeight="1" x14ac:dyDescent="0.2">
      <c r="A18" s="101">
        <v>53</v>
      </c>
      <c r="B18" s="670" t="s">
        <v>396</v>
      </c>
      <c r="C18" s="671"/>
      <c r="D18" s="671"/>
      <c r="E18" s="671"/>
      <c r="F18" s="672"/>
      <c r="G18" s="654">
        <f>Basiswerte!B12</f>
        <v>58650</v>
      </c>
      <c r="H18" s="654"/>
      <c r="I18" s="2"/>
      <c r="M18" s="676" t="s">
        <v>389</v>
      </c>
      <c r="N18" s="677"/>
      <c r="O18" s="677"/>
      <c r="P18" s="677"/>
      <c r="Q18" s="678"/>
    </row>
    <row r="19" spans="1:23" ht="35.1" customHeight="1" thickBot="1" x14ac:dyDescent="0.25">
      <c r="A19" s="101">
        <v>54</v>
      </c>
      <c r="B19" s="673" t="s">
        <v>491</v>
      </c>
      <c r="C19" s="674"/>
      <c r="D19" s="674"/>
      <c r="E19" s="674"/>
      <c r="F19" s="675"/>
      <c r="G19" s="685">
        <f>SUM(G18/39*G17)</f>
        <v>0</v>
      </c>
      <c r="H19" s="685"/>
      <c r="I19" s="2"/>
      <c r="M19" s="282">
        <f>M15-'Beantragte MFF-Förderung'!F13</f>
        <v>0</v>
      </c>
      <c r="N19" s="283">
        <f>N15-'Beantragte MFF-Förderung'!F15-'Beantragte MFF-Förderung'!F14</f>
        <v>0</v>
      </c>
      <c r="O19" s="283">
        <f>O15-'Beantragte MFF-Förderung'!F16</f>
        <v>0</v>
      </c>
      <c r="P19" s="283">
        <f>P15-'Beantragte MFF-Förderung'!F17</f>
        <v>0</v>
      </c>
      <c r="Q19" s="284">
        <f>Q15-'Beantragte MFF-Förderung'!F18</f>
        <v>0</v>
      </c>
    </row>
    <row r="20" spans="1:23" ht="14.25" x14ac:dyDescent="0.2">
      <c r="B20" s="27"/>
      <c r="C20" s="28"/>
      <c r="D20" s="29"/>
      <c r="E20" s="175"/>
      <c r="F20" s="175"/>
      <c r="G20" s="175"/>
      <c r="H20" s="175"/>
      <c r="I20" s="175"/>
      <c r="J20" s="175"/>
      <c r="K20" s="175"/>
      <c r="L20" s="175"/>
      <c r="M20" s="175"/>
      <c r="N20" s="175"/>
      <c r="O20" s="228"/>
      <c r="P20" s="228"/>
      <c r="Q20" s="228"/>
      <c r="R20" s="228"/>
      <c r="S20" s="228"/>
      <c r="T20" s="228"/>
      <c r="U20" s="175"/>
      <c r="V20" s="175"/>
      <c r="W20" s="175"/>
    </row>
    <row r="21" spans="1:23" s="214" customFormat="1" ht="14.25" x14ac:dyDescent="0.2">
      <c r="A21" s="101"/>
      <c r="B21" s="27"/>
      <c r="C21" s="28"/>
      <c r="D21" s="29"/>
      <c r="E21" s="213"/>
      <c r="F21" s="213"/>
      <c r="G21" s="213"/>
      <c r="H21" s="213"/>
      <c r="I21" s="213"/>
      <c r="J21" s="213"/>
      <c r="K21" s="213"/>
      <c r="L21" s="213"/>
      <c r="M21" s="213"/>
      <c r="N21" s="213"/>
      <c r="O21" s="228"/>
      <c r="P21" s="228"/>
      <c r="Q21" s="228"/>
      <c r="R21" s="228"/>
      <c r="S21" s="228"/>
      <c r="T21" s="228"/>
      <c r="U21" s="213"/>
      <c r="V21" s="213"/>
      <c r="W21" s="213"/>
    </row>
    <row r="22" spans="1:23" s="214" customFormat="1" ht="46.5" customHeight="1" x14ac:dyDescent="0.2">
      <c r="A22" s="101">
        <v>55</v>
      </c>
      <c r="B22" s="648" t="s">
        <v>457</v>
      </c>
      <c r="C22" s="688"/>
      <c r="D22" s="688"/>
      <c r="E22" s="688"/>
      <c r="F22" s="689"/>
      <c r="G22" s="213"/>
      <c r="H22" s="213"/>
      <c r="I22" s="213"/>
      <c r="J22" s="213"/>
      <c r="K22" s="213"/>
      <c r="L22" s="213"/>
      <c r="M22" s="213"/>
      <c r="N22" s="213"/>
      <c r="O22" s="228"/>
      <c r="P22" s="228"/>
      <c r="Q22" s="228"/>
      <c r="R22" s="228"/>
      <c r="S22" s="228"/>
      <c r="T22" s="228"/>
      <c r="U22" s="213"/>
      <c r="V22" s="213"/>
    </row>
    <row r="23" spans="1:23" s="229" customFormat="1" ht="31.5" customHeight="1" x14ac:dyDescent="0.2">
      <c r="A23" s="101"/>
      <c r="B23" s="690"/>
      <c r="C23" s="691"/>
      <c r="D23" s="686" t="s">
        <v>313</v>
      </c>
      <c r="E23" s="687"/>
      <c r="F23" s="687"/>
      <c r="G23" s="228"/>
      <c r="H23" s="228"/>
      <c r="I23" s="228"/>
      <c r="J23" s="228"/>
      <c r="K23" s="228"/>
      <c r="L23" s="228"/>
      <c r="M23" s="228"/>
      <c r="N23" s="228"/>
      <c r="O23" s="228"/>
      <c r="P23" s="228"/>
      <c r="Q23" s="228"/>
      <c r="R23" s="228"/>
      <c r="S23" s="228"/>
      <c r="T23" s="228"/>
      <c r="U23" s="228"/>
      <c r="V23" s="228"/>
    </row>
    <row r="24" spans="1:23" s="214" customFormat="1" ht="14.25" customHeight="1" x14ac:dyDescent="0.2">
      <c r="A24" s="101">
        <v>56</v>
      </c>
      <c r="B24" s="628" t="s">
        <v>157</v>
      </c>
      <c r="C24" s="628" t="s">
        <v>388</v>
      </c>
      <c r="D24" s="692" t="s">
        <v>194</v>
      </c>
      <c r="E24" s="692" t="s">
        <v>195</v>
      </c>
      <c r="F24" s="692" t="s">
        <v>198</v>
      </c>
      <c r="G24" s="213"/>
      <c r="H24" s="213"/>
      <c r="I24" s="213"/>
      <c r="J24" s="213"/>
      <c r="K24" s="213"/>
      <c r="L24" s="213"/>
      <c r="M24" s="213"/>
      <c r="N24" s="213"/>
      <c r="O24" s="228"/>
      <c r="P24" s="228"/>
      <c r="Q24" s="228"/>
      <c r="R24" s="228"/>
      <c r="S24" s="228"/>
      <c r="T24" s="228"/>
      <c r="U24" s="213"/>
      <c r="V24" s="213"/>
    </row>
    <row r="25" spans="1:23" s="214" customFormat="1" ht="14.25" customHeight="1" x14ac:dyDescent="0.2">
      <c r="A25" s="101"/>
      <c r="B25" s="628"/>
      <c r="C25" s="628"/>
      <c r="D25" s="692"/>
      <c r="E25" s="692"/>
      <c r="F25" s="692"/>
      <c r="G25" s="213"/>
      <c r="H25" s="213"/>
      <c r="I25" s="213"/>
      <c r="J25" s="213"/>
      <c r="K25" s="213"/>
      <c r="L25" s="213"/>
      <c r="M25" s="213"/>
      <c r="N25" s="213"/>
      <c r="O25" s="228"/>
      <c r="P25" s="228"/>
      <c r="Q25" s="228"/>
      <c r="R25" s="228"/>
      <c r="S25" s="228"/>
      <c r="T25" s="228"/>
      <c r="U25" s="213"/>
      <c r="V25" s="213"/>
    </row>
    <row r="26" spans="1:23" s="214" customFormat="1" ht="49.5" customHeight="1" x14ac:dyDescent="0.2">
      <c r="A26" s="101"/>
      <c r="B26" s="628"/>
      <c r="C26" s="628"/>
      <c r="D26" s="692"/>
      <c r="E26" s="692"/>
      <c r="F26" s="692"/>
      <c r="G26" s="213"/>
      <c r="H26" s="213"/>
      <c r="I26" s="213"/>
      <c r="J26" s="213"/>
      <c r="K26" s="213"/>
      <c r="L26" s="213"/>
      <c r="M26" s="213"/>
      <c r="N26" s="213"/>
      <c r="O26" s="228"/>
      <c r="P26" s="228"/>
      <c r="Q26" s="228"/>
      <c r="R26" s="228"/>
      <c r="S26" s="228"/>
      <c r="T26" s="228"/>
      <c r="U26" s="213"/>
      <c r="V26" s="213"/>
    </row>
    <row r="27" spans="1:23" s="214" customFormat="1" ht="24.95" customHeight="1" x14ac:dyDescent="0.2">
      <c r="A27" s="101">
        <v>57</v>
      </c>
      <c r="B27" s="220"/>
      <c r="C27" s="230"/>
      <c r="D27" s="231"/>
      <c r="E27" s="231"/>
      <c r="F27" s="231"/>
      <c r="G27" s="271" t="str">
        <f>IF(C27&gt;= SUM(D27:F27),"","Zu viele Personalkosten verteilt")</f>
        <v/>
      </c>
      <c r="H27" s="213"/>
      <c r="I27" s="213"/>
      <c r="J27" s="213"/>
      <c r="K27" s="213"/>
      <c r="L27" s="213"/>
      <c r="M27" s="213"/>
      <c r="N27" s="213"/>
      <c r="O27" s="228"/>
      <c r="P27" s="228"/>
      <c r="Q27" s="228"/>
      <c r="R27" s="228"/>
      <c r="S27" s="228"/>
      <c r="T27" s="228"/>
      <c r="U27" s="213"/>
      <c r="V27" s="213"/>
    </row>
    <row r="28" spans="1:23" s="214" customFormat="1" ht="24.95" customHeight="1" x14ac:dyDescent="0.2">
      <c r="A28" s="101"/>
      <c r="B28" s="220"/>
      <c r="C28" s="230"/>
      <c r="D28" s="231"/>
      <c r="E28" s="231"/>
      <c r="F28" s="231"/>
      <c r="G28" s="271" t="str">
        <f t="shared" ref="G28:G39" si="0">IF(C28&gt;= SUM(D28:F28),"","Zu viele Personalkosten verteilt")</f>
        <v/>
      </c>
      <c r="H28" s="213"/>
      <c r="I28" s="213"/>
      <c r="J28" s="213"/>
      <c r="K28" s="213"/>
      <c r="L28" s="213"/>
      <c r="M28" s="213"/>
      <c r="N28" s="213"/>
      <c r="O28" s="228"/>
      <c r="P28" s="228"/>
      <c r="Q28" s="228"/>
      <c r="R28" s="228"/>
      <c r="S28" s="228"/>
      <c r="T28" s="228"/>
      <c r="U28" s="213"/>
      <c r="V28" s="213"/>
    </row>
    <row r="29" spans="1:23" s="214" customFormat="1" ht="24.95" customHeight="1" x14ac:dyDescent="0.2">
      <c r="A29" s="101"/>
      <c r="B29" s="220"/>
      <c r="C29" s="230"/>
      <c r="D29" s="231"/>
      <c r="E29" s="231"/>
      <c r="F29" s="231"/>
      <c r="G29" s="271" t="str">
        <f t="shared" si="0"/>
        <v/>
      </c>
      <c r="H29" s="213"/>
      <c r="I29" s="213"/>
      <c r="J29" s="213"/>
      <c r="K29" s="213"/>
      <c r="L29" s="213"/>
      <c r="M29" s="213"/>
      <c r="N29" s="213"/>
      <c r="O29" s="228"/>
      <c r="P29" s="228"/>
      <c r="Q29" s="228"/>
      <c r="R29" s="228"/>
      <c r="S29" s="228"/>
      <c r="T29" s="228"/>
      <c r="U29" s="213"/>
      <c r="V29" s="213"/>
    </row>
    <row r="30" spans="1:23" s="214" customFormat="1" ht="24.95" customHeight="1" x14ac:dyDescent="0.2">
      <c r="A30" s="101"/>
      <c r="B30" s="220"/>
      <c r="C30" s="230"/>
      <c r="D30" s="231"/>
      <c r="E30" s="231"/>
      <c r="F30" s="231"/>
      <c r="G30" s="271" t="str">
        <f t="shared" si="0"/>
        <v/>
      </c>
      <c r="H30" s="213"/>
      <c r="I30" s="213"/>
      <c r="J30" s="213"/>
      <c r="K30" s="213"/>
      <c r="L30" s="213"/>
      <c r="M30" s="213"/>
      <c r="N30" s="213"/>
      <c r="O30" s="228"/>
      <c r="P30" s="228"/>
      <c r="Q30" s="228"/>
      <c r="R30" s="228"/>
      <c r="S30" s="228"/>
      <c r="T30" s="228"/>
      <c r="U30" s="213"/>
      <c r="V30" s="213"/>
    </row>
    <row r="31" spans="1:23" s="214" customFormat="1" ht="24.95" customHeight="1" x14ac:dyDescent="0.2">
      <c r="A31" s="101"/>
      <c r="B31" s="220"/>
      <c r="C31" s="230"/>
      <c r="D31" s="231"/>
      <c r="E31" s="231"/>
      <c r="F31" s="231"/>
      <c r="G31" s="271" t="str">
        <f t="shared" si="0"/>
        <v/>
      </c>
      <c r="H31" s="213"/>
      <c r="I31" s="213"/>
      <c r="J31" s="213"/>
      <c r="K31" s="213"/>
      <c r="L31" s="213"/>
      <c r="M31" s="213"/>
      <c r="N31" s="213"/>
      <c r="O31" s="228"/>
      <c r="P31" s="228"/>
      <c r="Q31" s="228"/>
      <c r="R31" s="228"/>
      <c r="S31" s="228"/>
      <c r="T31" s="228"/>
      <c r="U31" s="213"/>
      <c r="V31" s="213"/>
    </row>
    <row r="32" spans="1:23" s="214" customFormat="1" ht="24.95" customHeight="1" x14ac:dyDescent="0.2">
      <c r="A32" s="101"/>
      <c r="B32" s="220"/>
      <c r="C32" s="230"/>
      <c r="D32" s="231"/>
      <c r="E32" s="231"/>
      <c r="F32" s="231"/>
      <c r="G32" s="271" t="str">
        <f t="shared" si="0"/>
        <v/>
      </c>
      <c r="H32" s="213"/>
      <c r="I32" s="213"/>
      <c r="J32" s="213"/>
      <c r="K32" s="213"/>
      <c r="L32" s="213"/>
      <c r="M32" s="213"/>
      <c r="N32" s="213"/>
      <c r="O32" s="228"/>
      <c r="P32" s="228"/>
      <c r="Q32" s="228"/>
      <c r="R32" s="228"/>
      <c r="S32" s="228"/>
      <c r="T32" s="228"/>
      <c r="U32" s="213"/>
      <c r="V32" s="213"/>
    </row>
    <row r="33" spans="1:31" s="214" customFormat="1" ht="24.95" customHeight="1" x14ac:dyDescent="0.2">
      <c r="A33" s="101"/>
      <c r="B33" s="220"/>
      <c r="C33" s="230"/>
      <c r="D33" s="231"/>
      <c r="E33" s="231"/>
      <c r="F33" s="231"/>
      <c r="G33" s="271" t="str">
        <f t="shared" si="0"/>
        <v/>
      </c>
      <c r="H33" s="213"/>
      <c r="I33" s="213"/>
      <c r="J33" s="213"/>
      <c r="K33" s="213"/>
      <c r="L33" s="213"/>
      <c r="M33" s="213"/>
      <c r="N33" s="213"/>
      <c r="O33" s="228"/>
      <c r="P33" s="228"/>
      <c r="Q33" s="228"/>
      <c r="R33" s="228"/>
      <c r="S33" s="228"/>
      <c r="T33" s="228"/>
      <c r="U33" s="213"/>
      <c r="V33" s="213"/>
    </row>
    <row r="34" spans="1:31" s="214" customFormat="1" ht="24.95" customHeight="1" x14ac:dyDescent="0.2">
      <c r="A34" s="101"/>
      <c r="B34" s="220"/>
      <c r="C34" s="230"/>
      <c r="D34" s="231"/>
      <c r="E34" s="231"/>
      <c r="F34" s="231"/>
      <c r="G34" s="271" t="str">
        <f t="shared" si="0"/>
        <v/>
      </c>
      <c r="H34" s="213"/>
      <c r="I34" s="213"/>
      <c r="J34" s="213"/>
      <c r="K34" s="213"/>
      <c r="L34" s="213"/>
      <c r="M34" s="213"/>
      <c r="N34" s="213"/>
      <c r="O34" s="228"/>
      <c r="P34" s="228"/>
      <c r="Q34" s="228"/>
      <c r="R34" s="228"/>
      <c r="S34" s="228"/>
      <c r="T34" s="228"/>
      <c r="U34" s="213"/>
      <c r="V34" s="213"/>
    </row>
    <row r="35" spans="1:31" s="214" customFormat="1" ht="24.95" customHeight="1" x14ac:dyDescent="0.2">
      <c r="A35" s="101"/>
      <c r="B35" s="220"/>
      <c r="C35" s="230"/>
      <c r="D35" s="231"/>
      <c r="E35" s="231"/>
      <c r="F35" s="231"/>
      <c r="G35" s="271" t="str">
        <f t="shared" si="0"/>
        <v/>
      </c>
      <c r="H35" s="213"/>
      <c r="I35" s="213"/>
      <c r="J35" s="213"/>
      <c r="K35" s="213"/>
      <c r="L35" s="213"/>
      <c r="M35" s="213"/>
      <c r="S35" s="228"/>
      <c r="T35" s="228"/>
      <c r="U35" s="213"/>
      <c r="V35" s="213"/>
    </row>
    <row r="36" spans="1:31" s="214" customFormat="1" ht="24.95" customHeight="1" x14ac:dyDescent="0.2">
      <c r="A36" s="101"/>
      <c r="B36" s="220"/>
      <c r="C36" s="230"/>
      <c r="D36" s="231"/>
      <c r="E36" s="231"/>
      <c r="F36" s="231"/>
      <c r="G36" s="271" t="str">
        <f t="shared" si="0"/>
        <v/>
      </c>
      <c r="H36" s="213"/>
      <c r="I36" s="213"/>
      <c r="J36" s="213"/>
      <c r="K36" s="213"/>
      <c r="L36" s="213"/>
      <c r="M36" s="213"/>
      <c r="S36" s="228"/>
      <c r="T36" s="228"/>
      <c r="U36" s="213"/>
      <c r="V36" s="213"/>
    </row>
    <row r="37" spans="1:31" s="214" customFormat="1" ht="24.95" customHeight="1" x14ac:dyDescent="0.2">
      <c r="A37" s="101"/>
      <c r="B37" s="220"/>
      <c r="C37" s="230"/>
      <c r="D37" s="231"/>
      <c r="E37" s="231"/>
      <c r="F37" s="231"/>
      <c r="G37" s="271" t="str">
        <f t="shared" si="0"/>
        <v/>
      </c>
      <c r="H37" s="213"/>
      <c r="I37" s="213"/>
      <c r="J37" s="213"/>
      <c r="K37" s="213"/>
      <c r="L37" s="213"/>
      <c r="M37" s="213"/>
      <c r="S37" s="228"/>
      <c r="T37" s="228"/>
      <c r="U37" s="213"/>
      <c r="V37" s="213"/>
    </row>
    <row r="38" spans="1:31" s="214" customFormat="1" ht="24.95" customHeight="1" x14ac:dyDescent="0.2">
      <c r="A38" s="101"/>
      <c r="B38" s="220"/>
      <c r="C38" s="230"/>
      <c r="D38" s="231"/>
      <c r="E38" s="231"/>
      <c r="F38" s="231"/>
      <c r="G38" s="271" t="str">
        <f t="shared" si="0"/>
        <v/>
      </c>
      <c r="H38" s="213"/>
      <c r="I38" s="213"/>
      <c r="J38" s="213"/>
      <c r="K38" s="213"/>
      <c r="L38" s="213"/>
      <c r="M38" s="213"/>
      <c r="S38" s="228"/>
      <c r="T38" s="228"/>
      <c r="U38" s="213"/>
      <c r="V38" s="213"/>
    </row>
    <row r="39" spans="1:31" s="214" customFormat="1" ht="24.95" customHeight="1" x14ac:dyDescent="0.2">
      <c r="A39" s="101"/>
      <c r="B39" s="220"/>
      <c r="C39" s="230"/>
      <c r="D39" s="231"/>
      <c r="E39" s="231"/>
      <c r="F39" s="231"/>
      <c r="G39" s="271" t="str">
        <f t="shared" si="0"/>
        <v/>
      </c>
      <c r="H39" s="213"/>
      <c r="I39" s="213"/>
      <c r="J39" s="213"/>
      <c r="K39" s="213"/>
      <c r="L39" s="213"/>
      <c r="M39" s="213"/>
      <c r="S39" s="228"/>
      <c r="T39" s="228"/>
      <c r="U39" s="213"/>
      <c r="V39" s="213"/>
    </row>
    <row r="40" spans="1:31" s="214" customFormat="1" ht="24.95" customHeight="1" x14ac:dyDescent="0.25">
      <c r="A40" s="101"/>
      <c r="B40" s="234" t="s">
        <v>13</v>
      </c>
      <c r="C40" s="235">
        <f>SUM(C27:C39)</f>
        <v>0</v>
      </c>
      <c r="D40" s="235">
        <f t="shared" ref="D40:F40" si="1">SUM(D27:D39)</f>
        <v>0</v>
      </c>
      <c r="E40" s="235">
        <f t="shared" si="1"/>
        <v>0</v>
      </c>
      <c r="F40" s="235">
        <f t="shared" si="1"/>
        <v>0</v>
      </c>
      <c r="G40" s="213"/>
      <c r="H40" s="213"/>
      <c r="I40" s="213"/>
      <c r="J40" s="213"/>
      <c r="K40" s="213"/>
      <c r="L40" s="213"/>
      <c r="M40" s="228"/>
      <c r="N40" s="213"/>
      <c r="O40" s="213"/>
      <c r="P40" s="213"/>
    </row>
    <row r="41" spans="1:31" s="214" customFormat="1" ht="14.25" x14ac:dyDescent="0.2">
      <c r="A41" s="101"/>
      <c r="B41" s="27"/>
      <c r="C41" s="28"/>
      <c r="D41" s="29"/>
      <c r="E41" s="333"/>
      <c r="F41" s="333"/>
      <c r="G41" s="333"/>
      <c r="H41" s="333"/>
      <c r="I41" s="333"/>
      <c r="J41" s="333"/>
      <c r="K41" s="333"/>
      <c r="L41" s="333"/>
      <c r="M41" s="333"/>
      <c r="N41" s="333"/>
      <c r="O41" s="333"/>
      <c r="P41" s="333"/>
      <c r="Q41" s="333"/>
      <c r="R41" s="333"/>
      <c r="S41" s="333"/>
      <c r="T41" s="333"/>
      <c r="U41" s="333"/>
      <c r="V41" s="213"/>
      <c r="W41" s="213"/>
    </row>
    <row r="42" spans="1:31" s="214" customFormat="1" ht="14.25" x14ac:dyDescent="0.2">
      <c r="A42" s="101"/>
      <c r="B42" s="27"/>
      <c r="C42" s="28"/>
      <c r="D42" s="29"/>
      <c r="E42" s="333"/>
      <c r="F42" s="333"/>
      <c r="G42" s="333"/>
      <c r="H42" s="333"/>
      <c r="I42" s="333"/>
      <c r="J42" s="333"/>
      <c r="K42" s="333"/>
      <c r="L42" s="333"/>
      <c r="M42" s="333"/>
      <c r="N42" s="333"/>
      <c r="O42" s="333"/>
      <c r="P42" s="333"/>
      <c r="Q42" s="333"/>
      <c r="R42" s="333"/>
      <c r="S42" s="333"/>
      <c r="T42" s="333"/>
      <c r="U42" s="333"/>
      <c r="V42" s="213"/>
      <c r="W42" s="213"/>
    </row>
    <row r="43" spans="1:31" s="65" customFormat="1" ht="43.5" customHeight="1" x14ac:dyDescent="0.2">
      <c r="A43" s="102">
        <v>58</v>
      </c>
      <c r="B43" s="648" t="s">
        <v>398</v>
      </c>
      <c r="C43" s="649"/>
      <c r="D43" s="649"/>
      <c r="E43" s="649"/>
      <c r="F43" s="649"/>
      <c r="G43" s="649"/>
      <c r="H43" s="649"/>
      <c r="I43" s="649"/>
      <c r="J43" s="649"/>
      <c r="K43" s="649"/>
      <c r="L43" s="649"/>
      <c r="M43" s="649"/>
      <c r="N43" s="649"/>
      <c r="O43" s="649"/>
      <c r="P43" s="649"/>
      <c r="Q43" s="649"/>
      <c r="R43" s="649"/>
      <c r="S43" s="649"/>
      <c r="T43" s="649"/>
      <c r="U43" s="650"/>
    </row>
    <row r="44" spans="1:31" s="65" customFormat="1" ht="36" customHeight="1" thickBot="1" x14ac:dyDescent="0.25">
      <c r="A44" s="102">
        <v>59</v>
      </c>
      <c r="B44" s="693" t="s">
        <v>385</v>
      </c>
      <c r="C44" s="694"/>
      <c r="D44" s="694"/>
      <c r="E44" s="694"/>
      <c r="F44" s="694"/>
      <c r="G44" s="694"/>
      <c r="H44" s="694"/>
      <c r="I44" s="694"/>
      <c r="J44" s="694"/>
      <c r="K44" s="694"/>
      <c r="L44" s="694"/>
      <c r="M44" s="694"/>
      <c r="N44" s="694"/>
      <c r="O44" s="694"/>
      <c r="P44" s="694"/>
      <c r="Q44" s="694"/>
      <c r="R44" s="694"/>
      <c r="S44" s="694"/>
      <c r="T44" s="694"/>
      <c r="U44" s="695"/>
    </row>
    <row r="45" spans="1:31" ht="26.1" customHeight="1" thickBot="1" x14ac:dyDescent="0.25">
      <c r="A45" s="101">
        <v>60</v>
      </c>
      <c r="B45" s="625" t="s">
        <v>210</v>
      </c>
      <c r="C45" s="628" t="s">
        <v>85</v>
      </c>
      <c r="D45" s="628" t="s">
        <v>185</v>
      </c>
      <c r="E45" s="628" t="s">
        <v>258</v>
      </c>
      <c r="F45" s="628" t="s">
        <v>104</v>
      </c>
      <c r="G45" s="629" t="s">
        <v>7</v>
      </c>
      <c r="H45" s="629"/>
      <c r="I45" s="628" t="s">
        <v>8</v>
      </c>
      <c r="J45" s="628" t="s">
        <v>390</v>
      </c>
      <c r="K45" s="628" t="s">
        <v>259</v>
      </c>
      <c r="L45" s="628" t="s">
        <v>417</v>
      </c>
      <c r="M45" s="643" t="s">
        <v>416</v>
      </c>
      <c r="N45" s="656" t="s">
        <v>325</v>
      </c>
      <c r="O45" s="657"/>
      <c r="P45" s="657"/>
      <c r="Q45" s="657"/>
      <c r="R45" s="658"/>
      <c r="S45" s="236"/>
      <c r="T45" s="652"/>
      <c r="U45" s="653"/>
      <c r="AA45" s="656" t="s">
        <v>333</v>
      </c>
      <c r="AB45" s="657"/>
      <c r="AC45" s="657"/>
      <c r="AD45" s="657"/>
      <c r="AE45" s="658"/>
    </row>
    <row r="46" spans="1:31" ht="14.25" customHeight="1" x14ac:dyDescent="0.2">
      <c r="B46" s="626"/>
      <c r="C46" s="628"/>
      <c r="D46" s="628"/>
      <c r="E46" s="628"/>
      <c r="F46" s="628"/>
      <c r="G46" s="628" t="s">
        <v>9</v>
      </c>
      <c r="H46" s="628" t="s">
        <v>10</v>
      </c>
      <c r="I46" s="628"/>
      <c r="J46" s="628"/>
      <c r="K46" s="628"/>
      <c r="L46" s="628"/>
      <c r="M46" s="644"/>
      <c r="N46" s="646" t="s">
        <v>194</v>
      </c>
      <c r="O46" s="646" t="s">
        <v>195</v>
      </c>
      <c r="P46" s="646" t="s">
        <v>196</v>
      </c>
      <c r="Q46" s="646" t="s">
        <v>326</v>
      </c>
      <c r="R46" s="646" t="s">
        <v>198</v>
      </c>
      <c r="S46" s="659" t="s">
        <v>391</v>
      </c>
      <c r="T46" s="659" t="s">
        <v>392</v>
      </c>
      <c r="U46" s="646" t="s">
        <v>327</v>
      </c>
      <c r="AA46" s="646" t="s">
        <v>194</v>
      </c>
      <c r="AB46" s="646" t="s">
        <v>195</v>
      </c>
      <c r="AC46" s="646" t="s">
        <v>196</v>
      </c>
      <c r="AD46" s="646" t="s">
        <v>326</v>
      </c>
      <c r="AE46" s="646" t="s">
        <v>198</v>
      </c>
    </row>
    <row r="47" spans="1:31" ht="105.75" customHeight="1" x14ac:dyDescent="0.2">
      <c r="B47" s="627"/>
      <c r="C47" s="628"/>
      <c r="D47" s="628"/>
      <c r="E47" s="628"/>
      <c r="F47" s="628"/>
      <c r="G47" s="628"/>
      <c r="H47" s="628"/>
      <c r="I47" s="628"/>
      <c r="J47" s="628"/>
      <c r="K47" s="628"/>
      <c r="L47" s="628"/>
      <c r="M47" s="645"/>
      <c r="N47" s="647"/>
      <c r="O47" s="647"/>
      <c r="P47" s="647"/>
      <c r="Q47" s="647"/>
      <c r="R47" s="647"/>
      <c r="S47" s="660"/>
      <c r="T47" s="660"/>
      <c r="U47" s="647"/>
      <c r="AA47" s="647"/>
      <c r="AB47" s="647"/>
      <c r="AC47" s="647"/>
      <c r="AD47" s="647"/>
      <c r="AE47" s="647"/>
    </row>
    <row r="48" spans="1:31" ht="24.95" customHeight="1" x14ac:dyDescent="0.2">
      <c r="A48" s="101">
        <v>61</v>
      </c>
      <c r="B48" s="98"/>
      <c r="C48" s="96" t="s">
        <v>96</v>
      </c>
      <c r="D48" s="96" t="s">
        <v>96</v>
      </c>
      <c r="E48" s="67"/>
      <c r="F48" s="99"/>
      <c r="G48" s="97" t="s">
        <v>96</v>
      </c>
      <c r="H48" s="97" t="s">
        <v>96</v>
      </c>
      <c r="I48" s="237" t="str">
        <f t="shared" ref="I48" si="2">IF(ISERROR(DATEDIF(G48,H48,"M")+1)," ",DATEDIF(G48,H48,"M")+1)</f>
        <v xml:space="preserve"> </v>
      </c>
      <c r="J48" s="100"/>
      <c r="K48" s="238" t="str">
        <f t="shared" ref="K48" si="3">IF(ISERROR(SUM(I48*J48/12))," ",SUM(I48*J48/12))</f>
        <v xml:space="preserve"> </v>
      </c>
      <c r="L48" s="66"/>
      <c r="M48" s="476">
        <f>L48-AMZ!G13-AMZ!H13-AMZ!I13-AMZ!J13-'S8b Ausgleich'!H14-'S8b Ausgleich'!I14-'S8b Ausgleich'!J14</f>
        <v>0</v>
      </c>
      <c r="N48" s="293"/>
      <c r="O48" s="293"/>
      <c r="P48" s="293"/>
      <c r="Q48" s="293"/>
      <c r="R48" s="293"/>
      <c r="S48" s="480">
        <f>IFERROR(M48/K48*T48,0)</f>
        <v>0</v>
      </c>
      <c r="T48" s="481">
        <f>SUM(N48:R48)</f>
        <v>0</v>
      </c>
      <c r="U48" s="239" t="str">
        <f>IF(T48&lt;=K48,"","zu viele Personalstunden verteilt")</f>
        <v/>
      </c>
      <c r="V48" s="19"/>
      <c r="W48" s="19"/>
      <c r="AA48" s="244">
        <f t="shared" ref="AA48:AA87" si="4">IFERROR(M48/K48*N48,0)</f>
        <v>0</v>
      </c>
      <c r="AB48" s="244">
        <f t="shared" ref="AB48:AB87" si="5">IFERROR(M48/K48*O48,0)</f>
        <v>0</v>
      </c>
      <c r="AC48" s="244">
        <f t="shared" ref="AC48:AC87" si="6">IFERROR(M48/K48*P48,0)</f>
        <v>0</v>
      </c>
      <c r="AD48" s="244">
        <f t="shared" ref="AD48:AD87" si="7">IFERROR(M48/K48*Q48,0)</f>
        <v>0</v>
      </c>
      <c r="AE48" s="244">
        <f t="shared" ref="AE48:AE87" si="8">IFERROR(M48/K48*R48,0)</f>
        <v>0</v>
      </c>
    </row>
    <row r="49" spans="2:31" ht="24.95" customHeight="1" x14ac:dyDescent="0.2">
      <c r="B49" s="98"/>
      <c r="C49" s="96" t="s">
        <v>96</v>
      </c>
      <c r="D49" s="96" t="s">
        <v>96</v>
      </c>
      <c r="E49" s="67"/>
      <c r="F49" s="99"/>
      <c r="G49" s="97" t="s">
        <v>96</v>
      </c>
      <c r="H49" s="97" t="s">
        <v>96</v>
      </c>
      <c r="I49" s="237" t="str">
        <f t="shared" ref="I49:I53" si="9">IF(ISERROR(DATEDIF(G49,H49,"M")+1)," ",DATEDIF(G49,H49,"M")+1)</f>
        <v xml:space="preserve"> </v>
      </c>
      <c r="J49" s="100"/>
      <c r="K49" s="238" t="str">
        <f t="shared" ref="K49:K53" si="10">IF(ISERROR(SUM(I49*J49/12))," ",SUM(I49*J49/12))</f>
        <v xml:space="preserve"> </v>
      </c>
      <c r="L49" s="66"/>
      <c r="M49" s="476">
        <f>L49-AMZ!G14-AMZ!H14-AMZ!I14-AMZ!J14-'S8b Ausgleich'!H15-'S8b Ausgleich'!I15-'S8b Ausgleich'!J15</f>
        <v>0</v>
      </c>
      <c r="N49" s="293"/>
      <c r="O49" s="293"/>
      <c r="P49" s="293"/>
      <c r="Q49" s="293"/>
      <c r="R49" s="293"/>
      <c r="S49" s="480">
        <f t="shared" ref="S49:S86" si="11">IFERROR(M49/K49*T49,0)</f>
        <v>0</v>
      </c>
      <c r="T49" s="481">
        <f t="shared" ref="T49:T87" si="12">SUM(N49:R49)</f>
        <v>0</v>
      </c>
      <c r="U49" s="239" t="str">
        <f t="shared" ref="U49:U87" si="13">IF(T49&lt;=K49,"","zu viele Personalstunden verteilt")</f>
        <v/>
      </c>
      <c r="V49" s="19"/>
      <c r="W49" s="19"/>
      <c r="AA49" s="244">
        <f t="shared" si="4"/>
        <v>0</v>
      </c>
      <c r="AB49" s="244">
        <f t="shared" si="5"/>
        <v>0</v>
      </c>
      <c r="AC49" s="244">
        <f t="shared" si="6"/>
        <v>0</v>
      </c>
      <c r="AD49" s="244">
        <f t="shared" si="7"/>
        <v>0</v>
      </c>
      <c r="AE49" s="244">
        <f t="shared" si="8"/>
        <v>0</v>
      </c>
    </row>
    <row r="50" spans="2:31" ht="24.95" customHeight="1" x14ac:dyDescent="0.2">
      <c r="B50" s="98"/>
      <c r="C50" s="96" t="s">
        <v>96</v>
      </c>
      <c r="D50" s="96" t="s">
        <v>96</v>
      </c>
      <c r="E50" s="67"/>
      <c r="F50" s="99"/>
      <c r="G50" s="97" t="s">
        <v>96</v>
      </c>
      <c r="H50" s="97" t="s">
        <v>96</v>
      </c>
      <c r="I50" s="237" t="str">
        <f t="shared" si="9"/>
        <v xml:space="preserve"> </v>
      </c>
      <c r="J50" s="100"/>
      <c r="K50" s="238" t="str">
        <f t="shared" si="10"/>
        <v xml:space="preserve"> </v>
      </c>
      <c r="L50" s="66"/>
      <c r="M50" s="476">
        <f>L50-AMZ!G15-AMZ!H15-AMZ!I15-AMZ!J15-'S8b Ausgleich'!H16-'S8b Ausgleich'!I16-'S8b Ausgleich'!J16</f>
        <v>0</v>
      </c>
      <c r="N50" s="293"/>
      <c r="O50" s="293"/>
      <c r="P50" s="293"/>
      <c r="Q50" s="293"/>
      <c r="R50" s="293"/>
      <c r="S50" s="480">
        <f t="shared" si="11"/>
        <v>0</v>
      </c>
      <c r="T50" s="481">
        <f t="shared" si="12"/>
        <v>0</v>
      </c>
      <c r="U50" s="239" t="str">
        <f t="shared" si="13"/>
        <v/>
      </c>
      <c r="V50" s="19"/>
      <c r="W50" s="19"/>
      <c r="AA50" s="244">
        <f t="shared" si="4"/>
        <v>0</v>
      </c>
      <c r="AB50" s="244">
        <f t="shared" si="5"/>
        <v>0</v>
      </c>
      <c r="AC50" s="244">
        <f t="shared" si="6"/>
        <v>0</v>
      </c>
      <c r="AD50" s="244">
        <f t="shared" si="7"/>
        <v>0</v>
      </c>
      <c r="AE50" s="244">
        <f t="shared" si="8"/>
        <v>0</v>
      </c>
    </row>
    <row r="51" spans="2:31" ht="24.95" customHeight="1" x14ac:dyDescent="0.2">
      <c r="B51" s="98"/>
      <c r="C51" s="96" t="s">
        <v>96</v>
      </c>
      <c r="D51" s="96" t="s">
        <v>96</v>
      </c>
      <c r="E51" s="67"/>
      <c r="F51" s="99"/>
      <c r="G51" s="97" t="s">
        <v>96</v>
      </c>
      <c r="H51" s="97" t="s">
        <v>96</v>
      </c>
      <c r="I51" s="237" t="str">
        <f t="shared" si="9"/>
        <v xml:space="preserve"> </v>
      </c>
      <c r="J51" s="100"/>
      <c r="K51" s="238" t="str">
        <f t="shared" si="10"/>
        <v xml:space="preserve"> </v>
      </c>
      <c r="L51" s="66"/>
      <c r="M51" s="476">
        <f>L51-AMZ!G16-AMZ!H16-AMZ!I16-AMZ!J16-'S8b Ausgleich'!H17-'S8b Ausgleich'!I17-'S8b Ausgleich'!J17</f>
        <v>0</v>
      </c>
      <c r="N51" s="293"/>
      <c r="O51" s="293"/>
      <c r="P51" s="293"/>
      <c r="Q51" s="293"/>
      <c r="R51" s="293"/>
      <c r="S51" s="480">
        <f t="shared" si="11"/>
        <v>0</v>
      </c>
      <c r="T51" s="481">
        <f t="shared" si="12"/>
        <v>0</v>
      </c>
      <c r="U51" s="239" t="str">
        <f t="shared" si="13"/>
        <v/>
      </c>
      <c r="V51" s="19"/>
      <c r="W51" s="19"/>
      <c r="AA51" s="244">
        <f t="shared" si="4"/>
        <v>0</v>
      </c>
      <c r="AB51" s="244">
        <f t="shared" si="5"/>
        <v>0</v>
      </c>
      <c r="AC51" s="244">
        <f t="shared" si="6"/>
        <v>0</v>
      </c>
      <c r="AD51" s="244">
        <f t="shared" si="7"/>
        <v>0</v>
      </c>
      <c r="AE51" s="244">
        <f t="shared" si="8"/>
        <v>0</v>
      </c>
    </row>
    <row r="52" spans="2:31" ht="24.95" customHeight="1" x14ac:dyDescent="0.2">
      <c r="B52" s="98"/>
      <c r="C52" s="96" t="s">
        <v>96</v>
      </c>
      <c r="D52" s="96" t="s">
        <v>96</v>
      </c>
      <c r="E52" s="67"/>
      <c r="F52" s="99"/>
      <c r="G52" s="97" t="s">
        <v>96</v>
      </c>
      <c r="H52" s="97" t="s">
        <v>96</v>
      </c>
      <c r="I52" s="237" t="str">
        <f t="shared" si="9"/>
        <v xml:space="preserve"> </v>
      </c>
      <c r="J52" s="100"/>
      <c r="K52" s="238" t="str">
        <f t="shared" si="10"/>
        <v xml:space="preserve"> </v>
      </c>
      <c r="L52" s="66"/>
      <c r="M52" s="476">
        <f>L52-AMZ!G17-AMZ!H17-AMZ!I17-AMZ!J17-'S8b Ausgleich'!H18-'S8b Ausgleich'!I18-'S8b Ausgleich'!J18</f>
        <v>0</v>
      </c>
      <c r="N52" s="293"/>
      <c r="O52" s="293"/>
      <c r="P52" s="293"/>
      <c r="Q52" s="293"/>
      <c r="R52" s="293"/>
      <c r="S52" s="480">
        <f t="shared" si="11"/>
        <v>0</v>
      </c>
      <c r="T52" s="481">
        <f t="shared" si="12"/>
        <v>0</v>
      </c>
      <c r="U52" s="239" t="str">
        <f t="shared" si="13"/>
        <v/>
      </c>
      <c r="V52" s="19"/>
      <c r="W52" s="19"/>
      <c r="AA52" s="244">
        <f t="shared" si="4"/>
        <v>0</v>
      </c>
      <c r="AB52" s="244">
        <f t="shared" si="5"/>
        <v>0</v>
      </c>
      <c r="AC52" s="244">
        <f t="shared" si="6"/>
        <v>0</v>
      </c>
      <c r="AD52" s="244">
        <f t="shared" si="7"/>
        <v>0</v>
      </c>
      <c r="AE52" s="244">
        <f t="shared" si="8"/>
        <v>0</v>
      </c>
    </row>
    <row r="53" spans="2:31" ht="24.95" customHeight="1" x14ac:dyDescent="0.2">
      <c r="B53" s="98"/>
      <c r="C53" s="96" t="s">
        <v>96</v>
      </c>
      <c r="D53" s="96" t="s">
        <v>96</v>
      </c>
      <c r="E53" s="67"/>
      <c r="F53" s="99"/>
      <c r="G53" s="97" t="s">
        <v>96</v>
      </c>
      <c r="H53" s="97" t="s">
        <v>96</v>
      </c>
      <c r="I53" s="237" t="str">
        <f t="shared" si="9"/>
        <v xml:space="preserve"> </v>
      </c>
      <c r="J53" s="100"/>
      <c r="K53" s="238" t="str">
        <f t="shared" si="10"/>
        <v xml:space="preserve"> </v>
      </c>
      <c r="L53" s="66"/>
      <c r="M53" s="476">
        <f>L53-AMZ!G18-AMZ!H18-AMZ!I18-AMZ!J18-'S8b Ausgleich'!H19-'S8b Ausgleich'!I19-'S8b Ausgleich'!J19</f>
        <v>0</v>
      </c>
      <c r="N53" s="293"/>
      <c r="O53" s="293"/>
      <c r="P53" s="293"/>
      <c r="Q53" s="293"/>
      <c r="R53" s="293"/>
      <c r="S53" s="480">
        <f t="shared" si="11"/>
        <v>0</v>
      </c>
      <c r="T53" s="481">
        <f t="shared" si="12"/>
        <v>0</v>
      </c>
      <c r="U53" s="239" t="str">
        <f t="shared" si="13"/>
        <v/>
      </c>
      <c r="V53" s="19"/>
      <c r="W53" s="19"/>
      <c r="AA53" s="244">
        <f t="shared" si="4"/>
        <v>0</v>
      </c>
      <c r="AB53" s="244">
        <f t="shared" si="5"/>
        <v>0</v>
      </c>
      <c r="AC53" s="244">
        <f t="shared" si="6"/>
        <v>0</v>
      </c>
      <c r="AD53" s="244">
        <f t="shared" si="7"/>
        <v>0</v>
      </c>
      <c r="AE53" s="244">
        <f t="shared" si="8"/>
        <v>0</v>
      </c>
    </row>
    <row r="54" spans="2:31" ht="24.95" customHeight="1" x14ac:dyDescent="0.2">
      <c r="B54" s="98"/>
      <c r="C54" s="96" t="s">
        <v>96</v>
      </c>
      <c r="D54" s="96" t="s">
        <v>96</v>
      </c>
      <c r="E54" s="67"/>
      <c r="F54" s="99"/>
      <c r="G54" s="97" t="s">
        <v>96</v>
      </c>
      <c r="H54" s="97" t="s">
        <v>96</v>
      </c>
      <c r="I54" s="237" t="str">
        <f t="shared" ref="I54:I62" si="14">IF(ISERROR(DATEDIF(G54,H54,"M")+1)," ",DATEDIF(G54,H54,"M")+1)</f>
        <v xml:space="preserve"> </v>
      </c>
      <c r="J54" s="100"/>
      <c r="K54" s="238" t="str">
        <f t="shared" ref="K54:K62" si="15">IF(ISERROR(SUM(I54*J54/12))," ",SUM(I54*J54/12))</f>
        <v xml:space="preserve"> </v>
      </c>
      <c r="L54" s="66"/>
      <c r="M54" s="476">
        <f>L54-AMZ!G19-AMZ!H19-AMZ!I19-AMZ!J19-'S8b Ausgleich'!H20-'S8b Ausgleich'!I20-'S8b Ausgleich'!J20</f>
        <v>0</v>
      </c>
      <c r="N54" s="293"/>
      <c r="O54" s="293"/>
      <c r="P54" s="293"/>
      <c r="Q54" s="293"/>
      <c r="R54" s="293"/>
      <c r="S54" s="480">
        <f t="shared" si="11"/>
        <v>0</v>
      </c>
      <c r="T54" s="481">
        <f t="shared" si="12"/>
        <v>0</v>
      </c>
      <c r="U54" s="239" t="str">
        <f t="shared" si="13"/>
        <v/>
      </c>
      <c r="V54" s="19"/>
      <c r="W54" s="19"/>
      <c r="AA54" s="244">
        <f t="shared" si="4"/>
        <v>0</v>
      </c>
      <c r="AB54" s="244">
        <f t="shared" si="5"/>
        <v>0</v>
      </c>
      <c r="AC54" s="244">
        <f t="shared" si="6"/>
        <v>0</v>
      </c>
      <c r="AD54" s="244">
        <f t="shared" si="7"/>
        <v>0</v>
      </c>
      <c r="AE54" s="244">
        <f t="shared" si="8"/>
        <v>0</v>
      </c>
    </row>
    <row r="55" spans="2:31" ht="24.95" customHeight="1" x14ac:dyDescent="0.2">
      <c r="B55" s="98"/>
      <c r="C55" s="96" t="s">
        <v>96</v>
      </c>
      <c r="D55" s="96" t="s">
        <v>96</v>
      </c>
      <c r="E55" s="67"/>
      <c r="F55" s="99"/>
      <c r="G55" s="97" t="s">
        <v>96</v>
      </c>
      <c r="H55" s="97" t="s">
        <v>96</v>
      </c>
      <c r="I55" s="237" t="str">
        <f t="shared" si="14"/>
        <v xml:space="preserve"> </v>
      </c>
      <c r="J55" s="100"/>
      <c r="K55" s="238" t="str">
        <f t="shared" si="15"/>
        <v xml:space="preserve"> </v>
      </c>
      <c r="L55" s="66"/>
      <c r="M55" s="476">
        <f>L55-AMZ!G20-AMZ!H20-AMZ!I20-AMZ!J20-'S8b Ausgleich'!H21-'S8b Ausgleich'!I21-'S8b Ausgleich'!J21</f>
        <v>0</v>
      </c>
      <c r="N55" s="293"/>
      <c r="O55" s="293"/>
      <c r="P55" s="293"/>
      <c r="Q55" s="293"/>
      <c r="R55" s="293"/>
      <c r="S55" s="480">
        <f t="shared" si="11"/>
        <v>0</v>
      </c>
      <c r="T55" s="481">
        <f t="shared" si="12"/>
        <v>0</v>
      </c>
      <c r="U55" s="239" t="str">
        <f t="shared" si="13"/>
        <v/>
      </c>
      <c r="V55" s="19"/>
      <c r="W55" s="19"/>
      <c r="AA55" s="244">
        <f t="shared" si="4"/>
        <v>0</v>
      </c>
      <c r="AB55" s="244">
        <f t="shared" si="5"/>
        <v>0</v>
      </c>
      <c r="AC55" s="244">
        <f t="shared" si="6"/>
        <v>0</v>
      </c>
      <c r="AD55" s="244">
        <f t="shared" si="7"/>
        <v>0</v>
      </c>
      <c r="AE55" s="244">
        <f t="shared" si="8"/>
        <v>0</v>
      </c>
    </row>
    <row r="56" spans="2:31" ht="24.95" customHeight="1" x14ac:dyDescent="0.2">
      <c r="B56" s="98"/>
      <c r="C56" s="96" t="s">
        <v>96</v>
      </c>
      <c r="D56" s="96" t="s">
        <v>96</v>
      </c>
      <c r="E56" s="67"/>
      <c r="F56" s="99"/>
      <c r="G56" s="97" t="s">
        <v>96</v>
      </c>
      <c r="H56" s="97" t="s">
        <v>96</v>
      </c>
      <c r="I56" s="237" t="str">
        <f t="shared" si="14"/>
        <v xml:space="preserve"> </v>
      </c>
      <c r="J56" s="100"/>
      <c r="K56" s="238" t="str">
        <f t="shared" si="15"/>
        <v xml:space="preserve"> </v>
      </c>
      <c r="L56" s="66"/>
      <c r="M56" s="476">
        <f>L56-AMZ!G21-AMZ!H21-AMZ!I21-AMZ!J21-'S8b Ausgleich'!H22-'S8b Ausgleich'!I22-'S8b Ausgleich'!J22</f>
        <v>0</v>
      </c>
      <c r="N56" s="293"/>
      <c r="O56" s="293"/>
      <c r="P56" s="293"/>
      <c r="Q56" s="293"/>
      <c r="R56" s="293"/>
      <c r="S56" s="480">
        <f t="shared" si="11"/>
        <v>0</v>
      </c>
      <c r="T56" s="481">
        <f t="shared" si="12"/>
        <v>0</v>
      </c>
      <c r="U56" s="239" t="str">
        <f t="shared" si="13"/>
        <v/>
      </c>
      <c r="V56" s="19"/>
      <c r="W56" s="19"/>
      <c r="AA56" s="244">
        <f t="shared" si="4"/>
        <v>0</v>
      </c>
      <c r="AB56" s="244">
        <f t="shared" si="5"/>
        <v>0</v>
      </c>
      <c r="AC56" s="244">
        <f t="shared" si="6"/>
        <v>0</v>
      </c>
      <c r="AD56" s="244">
        <f t="shared" si="7"/>
        <v>0</v>
      </c>
      <c r="AE56" s="244">
        <f t="shared" si="8"/>
        <v>0</v>
      </c>
    </row>
    <row r="57" spans="2:31" ht="24.95" customHeight="1" x14ac:dyDescent="0.2">
      <c r="B57" s="98"/>
      <c r="C57" s="96" t="s">
        <v>96</v>
      </c>
      <c r="D57" s="96" t="s">
        <v>96</v>
      </c>
      <c r="E57" s="67"/>
      <c r="F57" s="99"/>
      <c r="G57" s="97" t="s">
        <v>96</v>
      </c>
      <c r="H57" s="97" t="s">
        <v>96</v>
      </c>
      <c r="I57" s="237" t="str">
        <f t="shared" si="14"/>
        <v xml:space="preserve"> </v>
      </c>
      <c r="J57" s="100"/>
      <c r="K57" s="238" t="str">
        <f t="shared" si="15"/>
        <v xml:space="preserve"> </v>
      </c>
      <c r="L57" s="66"/>
      <c r="M57" s="476">
        <f>L57-AMZ!G22-AMZ!H22-AMZ!I22-AMZ!J22-'S8b Ausgleich'!H23-'S8b Ausgleich'!I23-'S8b Ausgleich'!J23</f>
        <v>0</v>
      </c>
      <c r="N57" s="293"/>
      <c r="O57" s="293"/>
      <c r="P57" s="293"/>
      <c r="Q57" s="293"/>
      <c r="R57" s="293"/>
      <c r="S57" s="480">
        <f t="shared" si="11"/>
        <v>0</v>
      </c>
      <c r="T57" s="481">
        <f t="shared" si="12"/>
        <v>0</v>
      </c>
      <c r="U57" s="239" t="str">
        <f t="shared" si="13"/>
        <v/>
      </c>
      <c r="V57" s="19"/>
      <c r="W57" s="19"/>
      <c r="AA57" s="244">
        <f t="shared" si="4"/>
        <v>0</v>
      </c>
      <c r="AB57" s="244">
        <f t="shared" si="5"/>
        <v>0</v>
      </c>
      <c r="AC57" s="244">
        <f t="shared" si="6"/>
        <v>0</v>
      </c>
      <c r="AD57" s="244">
        <f t="shared" si="7"/>
        <v>0</v>
      </c>
      <c r="AE57" s="244">
        <f t="shared" si="8"/>
        <v>0</v>
      </c>
    </row>
    <row r="58" spans="2:31" ht="24.95" customHeight="1" x14ac:dyDescent="0.2">
      <c r="B58" s="98"/>
      <c r="C58" s="96" t="s">
        <v>96</v>
      </c>
      <c r="D58" s="96" t="s">
        <v>96</v>
      </c>
      <c r="E58" s="67"/>
      <c r="F58" s="99"/>
      <c r="G58" s="97" t="s">
        <v>96</v>
      </c>
      <c r="H58" s="97" t="s">
        <v>96</v>
      </c>
      <c r="I58" s="237" t="str">
        <f t="shared" si="14"/>
        <v xml:space="preserve"> </v>
      </c>
      <c r="J58" s="100"/>
      <c r="K58" s="238" t="str">
        <f t="shared" si="15"/>
        <v xml:space="preserve"> </v>
      </c>
      <c r="L58" s="66"/>
      <c r="M58" s="476">
        <f>L58-AMZ!G23-AMZ!H23-AMZ!I23-AMZ!J23-'S8b Ausgleich'!H24-'S8b Ausgleich'!I24-'S8b Ausgleich'!J24</f>
        <v>0</v>
      </c>
      <c r="N58" s="293"/>
      <c r="O58" s="293"/>
      <c r="P58" s="293"/>
      <c r="Q58" s="293"/>
      <c r="R58" s="293"/>
      <c r="S58" s="480">
        <f t="shared" si="11"/>
        <v>0</v>
      </c>
      <c r="T58" s="481">
        <f t="shared" si="12"/>
        <v>0</v>
      </c>
      <c r="U58" s="239" t="str">
        <f t="shared" si="13"/>
        <v/>
      </c>
      <c r="V58" s="19"/>
      <c r="W58" s="19"/>
      <c r="AA58" s="244">
        <f t="shared" si="4"/>
        <v>0</v>
      </c>
      <c r="AB58" s="244">
        <f t="shared" si="5"/>
        <v>0</v>
      </c>
      <c r="AC58" s="244">
        <f t="shared" si="6"/>
        <v>0</v>
      </c>
      <c r="AD58" s="244">
        <f t="shared" si="7"/>
        <v>0</v>
      </c>
      <c r="AE58" s="244">
        <f t="shared" si="8"/>
        <v>0</v>
      </c>
    </row>
    <row r="59" spans="2:31" ht="24.95" customHeight="1" x14ac:dyDescent="0.2">
      <c r="B59" s="98"/>
      <c r="C59" s="96" t="s">
        <v>96</v>
      </c>
      <c r="D59" s="96" t="s">
        <v>96</v>
      </c>
      <c r="E59" s="67"/>
      <c r="F59" s="99"/>
      <c r="G59" s="97" t="s">
        <v>96</v>
      </c>
      <c r="H59" s="97" t="s">
        <v>96</v>
      </c>
      <c r="I59" s="237" t="str">
        <f t="shared" si="14"/>
        <v xml:space="preserve"> </v>
      </c>
      <c r="J59" s="100"/>
      <c r="K59" s="238" t="str">
        <f t="shared" si="15"/>
        <v xml:space="preserve"> </v>
      </c>
      <c r="L59" s="66"/>
      <c r="M59" s="476">
        <f>L59-AMZ!G24-AMZ!H24-AMZ!I24-AMZ!J24-'S8b Ausgleich'!H25-'S8b Ausgleich'!I25-'S8b Ausgleich'!J25</f>
        <v>0</v>
      </c>
      <c r="N59" s="293"/>
      <c r="O59" s="293"/>
      <c r="P59" s="293"/>
      <c r="Q59" s="293"/>
      <c r="R59" s="293"/>
      <c r="S59" s="480">
        <f t="shared" si="11"/>
        <v>0</v>
      </c>
      <c r="T59" s="481">
        <f t="shared" si="12"/>
        <v>0</v>
      </c>
      <c r="U59" s="239" t="str">
        <f t="shared" si="13"/>
        <v/>
      </c>
      <c r="V59" s="19"/>
      <c r="W59" s="19"/>
      <c r="AA59" s="244">
        <f t="shared" si="4"/>
        <v>0</v>
      </c>
      <c r="AB59" s="244">
        <f t="shared" si="5"/>
        <v>0</v>
      </c>
      <c r="AC59" s="244">
        <f t="shared" si="6"/>
        <v>0</v>
      </c>
      <c r="AD59" s="244">
        <f t="shared" si="7"/>
        <v>0</v>
      </c>
      <c r="AE59" s="244">
        <f t="shared" si="8"/>
        <v>0</v>
      </c>
    </row>
    <row r="60" spans="2:31" ht="24.95" customHeight="1" x14ac:dyDescent="0.2">
      <c r="B60" s="98"/>
      <c r="C60" s="96" t="s">
        <v>96</v>
      </c>
      <c r="D60" s="96" t="s">
        <v>96</v>
      </c>
      <c r="E60" s="67"/>
      <c r="F60" s="99"/>
      <c r="G60" s="97" t="s">
        <v>96</v>
      </c>
      <c r="H60" s="97" t="s">
        <v>96</v>
      </c>
      <c r="I60" s="237" t="str">
        <f t="shared" si="14"/>
        <v xml:space="preserve"> </v>
      </c>
      <c r="J60" s="100"/>
      <c r="K60" s="238" t="str">
        <f t="shared" si="15"/>
        <v xml:space="preserve"> </v>
      </c>
      <c r="L60" s="66"/>
      <c r="M60" s="476">
        <f>L60-AMZ!G25-AMZ!H25-AMZ!I25-AMZ!J25-'S8b Ausgleich'!H26-'S8b Ausgleich'!I26-'S8b Ausgleich'!J26</f>
        <v>0</v>
      </c>
      <c r="N60" s="293"/>
      <c r="O60" s="293"/>
      <c r="P60" s="293"/>
      <c r="Q60" s="293"/>
      <c r="R60" s="293"/>
      <c r="S60" s="480">
        <f t="shared" si="11"/>
        <v>0</v>
      </c>
      <c r="T60" s="481">
        <f t="shared" si="12"/>
        <v>0</v>
      </c>
      <c r="U60" s="239" t="str">
        <f t="shared" si="13"/>
        <v/>
      </c>
      <c r="V60" s="19"/>
      <c r="W60" s="19"/>
      <c r="AA60" s="244">
        <f t="shared" si="4"/>
        <v>0</v>
      </c>
      <c r="AB60" s="244">
        <f t="shared" si="5"/>
        <v>0</v>
      </c>
      <c r="AC60" s="244">
        <f t="shared" si="6"/>
        <v>0</v>
      </c>
      <c r="AD60" s="244">
        <f t="shared" si="7"/>
        <v>0</v>
      </c>
      <c r="AE60" s="244">
        <f t="shared" si="8"/>
        <v>0</v>
      </c>
    </row>
    <row r="61" spans="2:31" ht="24.95" customHeight="1" x14ac:dyDescent="0.2">
      <c r="B61" s="98"/>
      <c r="C61" s="96" t="s">
        <v>96</v>
      </c>
      <c r="D61" s="96" t="s">
        <v>96</v>
      </c>
      <c r="E61" s="67"/>
      <c r="F61" s="99"/>
      <c r="G61" s="97" t="s">
        <v>96</v>
      </c>
      <c r="H61" s="97" t="s">
        <v>96</v>
      </c>
      <c r="I61" s="237" t="str">
        <f t="shared" si="14"/>
        <v xml:space="preserve"> </v>
      </c>
      <c r="J61" s="100"/>
      <c r="K61" s="238" t="str">
        <f t="shared" si="15"/>
        <v xml:space="preserve"> </v>
      </c>
      <c r="L61" s="66"/>
      <c r="M61" s="476">
        <f>L61-AMZ!G26-AMZ!H26-AMZ!I26-AMZ!J26-'S8b Ausgleich'!H27-'S8b Ausgleich'!I27-'S8b Ausgleich'!J27</f>
        <v>0</v>
      </c>
      <c r="N61" s="293"/>
      <c r="O61" s="293"/>
      <c r="P61" s="293"/>
      <c r="Q61" s="293"/>
      <c r="R61" s="293"/>
      <c r="S61" s="480">
        <f t="shared" si="11"/>
        <v>0</v>
      </c>
      <c r="T61" s="481">
        <f t="shared" si="12"/>
        <v>0</v>
      </c>
      <c r="U61" s="239" t="str">
        <f t="shared" si="13"/>
        <v/>
      </c>
      <c r="V61" s="19"/>
      <c r="W61" s="19"/>
      <c r="AA61" s="244">
        <f t="shared" si="4"/>
        <v>0</v>
      </c>
      <c r="AB61" s="244">
        <f t="shared" si="5"/>
        <v>0</v>
      </c>
      <c r="AC61" s="244">
        <f t="shared" si="6"/>
        <v>0</v>
      </c>
      <c r="AD61" s="244">
        <f t="shared" si="7"/>
        <v>0</v>
      </c>
      <c r="AE61" s="244">
        <f t="shared" si="8"/>
        <v>0</v>
      </c>
    </row>
    <row r="62" spans="2:31" ht="24.95" customHeight="1" x14ac:dyDescent="0.2">
      <c r="B62" s="98"/>
      <c r="C62" s="96" t="s">
        <v>96</v>
      </c>
      <c r="D62" s="96" t="s">
        <v>96</v>
      </c>
      <c r="E62" s="67"/>
      <c r="F62" s="99"/>
      <c r="G62" s="97" t="s">
        <v>96</v>
      </c>
      <c r="H62" s="97" t="s">
        <v>96</v>
      </c>
      <c r="I62" s="237" t="str">
        <f t="shared" si="14"/>
        <v xml:space="preserve"> </v>
      </c>
      <c r="J62" s="100"/>
      <c r="K62" s="238" t="str">
        <f t="shared" si="15"/>
        <v xml:space="preserve"> </v>
      </c>
      <c r="L62" s="66"/>
      <c r="M62" s="476">
        <f>L62-AMZ!G27-AMZ!H27-AMZ!I27-AMZ!J27-'S8b Ausgleich'!H28-'S8b Ausgleich'!I28-'S8b Ausgleich'!J28</f>
        <v>0</v>
      </c>
      <c r="N62" s="293"/>
      <c r="O62" s="293"/>
      <c r="P62" s="293"/>
      <c r="Q62" s="293"/>
      <c r="R62" s="293"/>
      <c r="S62" s="480">
        <f t="shared" si="11"/>
        <v>0</v>
      </c>
      <c r="T62" s="481">
        <f t="shared" si="12"/>
        <v>0</v>
      </c>
      <c r="U62" s="239" t="str">
        <f t="shared" si="13"/>
        <v/>
      </c>
      <c r="V62" s="19"/>
      <c r="W62" s="19"/>
      <c r="AA62" s="244">
        <f t="shared" si="4"/>
        <v>0</v>
      </c>
      <c r="AB62" s="244">
        <f t="shared" si="5"/>
        <v>0</v>
      </c>
      <c r="AC62" s="244">
        <f t="shared" si="6"/>
        <v>0</v>
      </c>
      <c r="AD62" s="244">
        <f t="shared" si="7"/>
        <v>0</v>
      </c>
      <c r="AE62" s="244">
        <f t="shared" si="8"/>
        <v>0</v>
      </c>
    </row>
    <row r="63" spans="2:31" ht="24.95" customHeight="1" x14ac:dyDescent="0.2">
      <c r="B63" s="98"/>
      <c r="C63" s="96" t="s">
        <v>96</v>
      </c>
      <c r="D63" s="96" t="s">
        <v>96</v>
      </c>
      <c r="E63" s="67"/>
      <c r="F63" s="99"/>
      <c r="G63" s="97" t="s">
        <v>96</v>
      </c>
      <c r="H63" s="97" t="s">
        <v>96</v>
      </c>
      <c r="I63" s="237" t="str">
        <f t="shared" ref="I63:I87" si="16">IF(ISERROR(DATEDIF(G63,H63,"M")+1)," ",DATEDIF(G63,H63,"M")+1)</f>
        <v xml:space="preserve"> </v>
      </c>
      <c r="J63" s="100"/>
      <c r="K63" s="238" t="str">
        <f t="shared" ref="K63:K87" si="17">IF(ISERROR(SUM(I63*J63/12))," ",SUM(I63*J63/12))</f>
        <v xml:space="preserve"> </v>
      </c>
      <c r="L63" s="66"/>
      <c r="M63" s="476">
        <f>L63-AMZ!G28-AMZ!H28-AMZ!I28-AMZ!J28-'S8b Ausgleich'!H29-'S8b Ausgleich'!I29-'S8b Ausgleich'!J29</f>
        <v>0</v>
      </c>
      <c r="N63" s="293"/>
      <c r="O63" s="293"/>
      <c r="P63" s="293"/>
      <c r="Q63" s="293"/>
      <c r="R63" s="293"/>
      <c r="S63" s="480">
        <f t="shared" si="11"/>
        <v>0</v>
      </c>
      <c r="T63" s="481">
        <f t="shared" si="12"/>
        <v>0</v>
      </c>
      <c r="U63" s="239" t="str">
        <f t="shared" si="13"/>
        <v/>
      </c>
      <c r="V63" s="19"/>
      <c r="W63" s="19"/>
      <c r="AA63" s="244">
        <f t="shared" si="4"/>
        <v>0</v>
      </c>
      <c r="AB63" s="244">
        <f t="shared" si="5"/>
        <v>0</v>
      </c>
      <c r="AC63" s="244">
        <f t="shared" si="6"/>
        <v>0</v>
      </c>
      <c r="AD63" s="244">
        <f t="shared" si="7"/>
        <v>0</v>
      </c>
      <c r="AE63" s="244">
        <f t="shared" si="8"/>
        <v>0</v>
      </c>
    </row>
    <row r="64" spans="2:31" ht="24.95" customHeight="1" x14ac:dyDescent="0.2">
      <c r="B64" s="98"/>
      <c r="C64" s="96" t="s">
        <v>96</v>
      </c>
      <c r="D64" s="96" t="s">
        <v>96</v>
      </c>
      <c r="E64" s="67"/>
      <c r="F64" s="99"/>
      <c r="G64" s="97" t="s">
        <v>96</v>
      </c>
      <c r="H64" s="97" t="s">
        <v>96</v>
      </c>
      <c r="I64" s="237" t="str">
        <f t="shared" si="16"/>
        <v xml:space="preserve"> </v>
      </c>
      <c r="J64" s="100"/>
      <c r="K64" s="238" t="str">
        <f t="shared" si="17"/>
        <v xml:space="preserve"> </v>
      </c>
      <c r="L64" s="66"/>
      <c r="M64" s="476">
        <f>L64-AMZ!G29-AMZ!H29-AMZ!I29-AMZ!J29-'S8b Ausgleich'!H30-'S8b Ausgleich'!I30-'S8b Ausgleich'!J30</f>
        <v>0</v>
      </c>
      <c r="N64" s="293"/>
      <c r="O64" s="293"/>
      <c r="P64" s="293"/>
      <c r="Q64" s="293"/>
      <c r="R64" s="293"/>
      <c r="S64" s="480">
        <f t="shared" si="11"/>
        <v>0</v>
      </c>
      <c r="T64" s="481">
        <f t="shared" si="12"/>
        <v>0</v>
      </c>
      <c r="U64" s="239" t="str">
        <f t="shared" si="13"/>
        <v/>
      </c>
      <c r="V64" s="19"/>
      <c r="W64" s="19"/>
      <c r="AA64" s="244">
        <f t="shared" si="4"/>
        <v>0</v>
      </c>
      <c r="AB64" s="244">
        <f t="shared" si="5"/>
        <v>0</v>
      </c>
      <c r="AC64" s="244">
        <f t="shared" si="6"/>
        <v>0</v>
      </c>
      <c r="AD64" s="244">
        <f t="shared" si="7"/>
        <v>0</v>
      </c>
      <c r="AE64" s="244">
        <f t="shared" si="8"/>
        <v>0</v>
      </c>
    </row>
    <row r="65" spans="2:31" ht="24.95" customHeight="1" x14ac:dyDescent="0.2">
      <c r="B65" s="98"/>
      <c r="C65" s="96" t="s">
        <v>96</v>
      </c>
      <c r="D65" s="96" t="s">
        <v>96</v>
      </c>
      <c r="E65" s="67"/>
      <c r="F65" s="99"/>
      <c r="G65" s="97" t="s">
        <v>96</v>
      </c>
      <c r="H65" s="97" t="s">
        <v>96</v>
      </c>
      <c r="I65" s="237" t="str">
        <f t="shared" si="16"/>
        <v xml:space="preserve"> </v>
      </c>
      <c r="J65" s="100"/>
      <c r="K65" s="238" t="str">
        <f t="shared" si="17"/>
        <v xml:space="preserve"> </v>
      </c>
      <c r="L65" s="66"/>
      <c r="M65" s="476">
        <f>L65-AMZ!G30-AMZ!H30-AMZ!I30-AMZ!J30-'S8b Ausgleich'!H31-'S8b Ausgleich'!I31-'S8b Ausgleich'!J31</f>
        <v>0</v>
      </c>
      <c r="N65" s="293"/>
      <c r="O65" s="293"/>
      <c r="P65" s="293"/>
      <c r="Q65" s="293"/>
      <c r="R65" s="293"/>
      <c r="S65" s="480">
        <f t="shared" si="11"/>
        <v>0</v>
      </c>
      <c r="T65" s="481">
        <f t="shared" si="12"/>
        <v>0</v>
      </c>
      <c r="U65" s="239" t="str">
        <f t="shared" si="13"/>
        <v/>
      </c>
      <c r="V65" s="19"/>
      <c r="W65" s="19"/>
      <c r="AA65" s="244">
        <f t="shared" si="4"/>
        <v>0</v>
      </c>
      <c r="AB65" s="244">
        <f t="shared" si="5"/>
        <v>0</v>
      </c>
      <c r="AC65" s="244">
        <f t="shared" si="6"/>
        <v>0</v>
      </c>
      <c r="AD65" s="244">
        <f t="shared" si="7"/>
        <v>0</v>
      </c>
      <c r="AE65" s="244">
        <f t="shared" si="8"/>
        <v>0</v>
      </c>
    </row>
    <row r="66" spans="2:31" ht="24.95" customHeight="1" x14ac:dyDescent="0.2">
      <c r="B66" s="98"/>
      <c r="C66" s="96" t="s">
        <v>96</v>
      </c>
      <c r="D66" s="96" t="s">
        <v>96</v>
      </c>
      <c r="E66" s="67"/>
      <c r="F66" s="99"/>
      <c r="G66" s="97" t="s">
        <v>96</v>
      </c>
      <c r="H66" s="97" t="s">
        <v>96</v>
      </c>
      <c r="I66" s="237" t="str">
        <f t="shared" si="16"/>
        <v xml:space="preserve"> </v>
      </c>
      <c r="J66" s="100"/>
      <c r="K66" s="238" t="str">
        <f t="shared" si="17"/>
        <v xml:space="preserve"> </v>
      </c>
      <c r="L66" s="66"/>
      <c r="M66" s="476">
        <f>L66-AMZ!G31-AMZ!H31-AMZ!I31-AMZ!J31-'S8b Ausgleich'!H32-'S8b Ausgleich'!I32-'S8b Ausgleich'!J32</f>
        <v>0</v>
      </c>
      <c r="N66" s="293"/>
      <c r="O66" s="293"/>
      <c r="P66" s="293"/>
      <c r="Q66" s="293"/>
      <c r="R66" s="293"/>
      <c r="S66" s="480">
        <f t="shared" si="11"/>
        <v>0</v>
      </c>
      <c r="T66" s="481">
        <f t="shared" si="12"/>
        <v>0</v>
      </c>
      <c r="U66" s="239" t="str">
        <f t="shared" si="13"/>
        <v/>
      </c>
      <c r="V66" s="19"/>
      <c r="W66" s="19"/>
      <c r="AA66" s="244">
        <f t="shared" si="4"/>
        <v>0</v>
      </c>
      <c r="AB66" s="244">
        <f t="shared" si="5"/>
        <v>0</v>
      </c>
      <c r="AC66" s="244">
        <f t="shared" si="6"/>
        <v>0</v>
      </c>
      <c r="AD66" s="244">
        <f t="shared" si="7"/>
        <v>0</v>
      </c>
      <c r="AE66" s="244">
        <f t="shared" si="8"/>
        <v>0</v>
      </c>
    </row>
    <row r="67" spans="2:31" ht="24.95" customHeight="1" x14ac:dyDescent="0.2">
      <c r="B67" s="98"/>
      <c r="C67" s="96" t="s">
        <v>96</v>
      </c>
      <c r="D67" s="96" t="s">
        <v>96</v>
      </c>
      <c r="E67" s="67"/>
      <c r="F67" s="99"/>
      <c r="G67" s="97" t="s">
        <v>96</v>
      </c>
      <c r="H67" s="97" t="s">
        <v>96</v>
      </c>
      <c r="I67" s="237" t="str">
        <f t="shared" si="16"/>
        <v xml:space="preserve"> </v>
      </c>
      <c r="J67" s="100"/>
      <c r="K67" s="238" t="str">
        <f t="shared" si="17"/>
        <v xml:space="preserve"> </v>
      </c>
      <c r="L67" s="66"/>
      <c r="M67" s="476">
        <f>L67-AMZ!G32-AMZ!H32-AMZ!I32-AMZ!J32-'S8b Ausgleich'!H33-'S8b Ausgleich'!I33-'S8b Ausgleich'!J33</f>
        <v>0</v>
      </c>
      <c r="N67" s="293"/>
      <c r="O67" s="293"/>
      <c r="P67" s="293"/>
      <c r="Q67" s="293"/>
      <c r="R67" s="293"/>
      <c r="S67" s="480">
        <f t="shared" si="11"/>
        <v>0</v>
      </c>
      <c r="T67" s="481">
        <f t="shared" si="12"/>
        <v>0</v>
      </c>
      <c r="U67" s="239" t="str">
        <f t="shared" si="13"/>
        <v/>
      </c>
      <c r="V67" s="19"/>
      <c r="W67" s="19"/>
      <c r="AA67" s="244">
        <f t="shared" si="4"/>
        <v>0</v>
      </c>
      <c r="AB67" s="244">
        <f t="shared" si="5"/>
        <v>0</v>
      </c>
      <c r="AC67" s="244">
        <f t="shared" si="6"/>
        <v>0</v>
      </c>
      <c r="AD67" s="244">
        <f t="shared" si="7"/>
        <v>0</v>
      </c>
      <c r="AE67" s="244">
        <f t="shared" si="8"/>
        <v>0</v>
      </c>
    </row>
    <row r="68" spans="2:31" ht="24.95" customHeight="1" x14ac:dyDescent="0.2">
      <c r="B68" s="98"/>
      <c r="C68" s="96" t="s">
        <v>96</v>
      </c>
      <c r="D68" s="96" t="s">
        <v>96</v>
      </c>
      <c r="E68" s="67"/>
      <c r="F68" s="99"/>
      <c r="G68" s="97" t="s">
        <v>96</v>
      </c>
      <c r="H68" s="97" t="s">
        <v>96</v>
      </c>
      <c r="I68" s="237" t="str">
        <f t="shared" si="16"/>
        <v xml:space="preserve"> </v>
      </c>
      <c r="J68" s="100"/>
      <c r="K68" s="238" t="str">
        <f t="shared" si="17"/>
        <v xml:space="preserve"> </v>
      </c>
      <c r="L68" s="66"/>
      <c r="M68" s="476">
        <f>L68-AMZ!G33-AMZ!H33-AMZ!I33-AMZ!J33-'S8b Ausgleich'!H34-'S8b Ausgleich'!I34-'S8b Ausgleich'!J34</f>
        <v>0</v>
      </c>
      <c r="N68" s="293"/>
      <c r="O68" s="293"/>
      <c r="P68" s="293"/>
      <c r="Q68" s="293"/>
      <c r="R68" s="293"/>
      <c r="S68" s="480">
        <f t="shared" si="11"/>
        <v>0</v>
      </c>
      <c r="T68" s="481">
        <f t="shared" si="12"/>
        <v>0</v>
      </c>
      <c r="U68" s="239" t="str">
        <f t="shared" si="13"/>
        <v/>
      </c>
      <c r="V68" s="19"/>
      <c r="W68" s="19"/>
      <c r="AA68" s="244">
        <f t="shared" si="4"/>
        <v>0</v>
      </c>
      <c r="AB68" s="244">
        <f t="shared" si="5"/>
        <v>0</v>
      </c>
      <c r="AC68" s="244">
        <f t="shared" si="6"/>
        <v>0</v>
      </c>
      <c r="AD68" s="244">
        <f t="shared" si="7"/>
        <v>0</v>
      </c>
      <c r="AE68" s="244">
        <f t="shared" si="8"/>
        <v>0</v>
      </c>
    </row>
    <row r="69" spans="2:31" ht="24.95" customHeight="1" x14ac:dyDescent="0.2">
      <c r="B69" s="98"/>
      <c r="C69" s="96" t="s">
        <v>96</v>
      </c>
      <c r="D69" s="96" t="s">
        <v>96</v>
      </c>
      <c r="E69" s="67"/>
      <c r="F69" s="99"/>
      <c r="G69" s="97" t="s">
        <v>96</v>
      </c>
      <c r="H69" s="97" t="s">
        <v>96</v>
      </c>
      <c r="I69" s="237" t="str">
        <f t="shared" si="16"/>
        <v xml:space="preserve"> </v>
      </c>
      <c r="J69" s="100"/>
      <c r="K69" s="238" t="str">
        <f t="shared" si="17"/>
        <v xml:space="preserve"> </v>
      </c>
      <c r="L69" s="66"/>
      <c r="M69" s="476">
        <f>L69-AMZ!G34-AMZ!H34-AMZ!I34-AMZ!J34-'S8b Ausgleich'!H35-'S8b Ausgleich'!I35-'S8b Ausgleich'!J35</f>
        <v>0</v>
      </c>
      <c r="N69" s="293"/>
      <c r="O69" s="293"/>
      <c r="P69" s="293"/>
      <c r="Q69" s="293"/>
      <c r="R69" s="293"/>
      <c r="S69" s="480">
        <f t="shared" si="11"/>
        <v>0</v>
      </c>
      <c r="T69" s="481">
        <f t="shared" si="12"/>
        <v>0</v>
      </c>
      <c r="U69" s="239" t="str">
        <f t="shared" si="13"/>
        <v/>
      </c>
      <c r="V69" s="19"/>
      <c r="W69" s="19"/>
      <c r="AA69" s="244">
        <f t="shared" si="4"/>
        <v>0</v>
      </c>
      <c r="AB69" s="244">
        <f t="shared" si="5"/>
        <v>0</v>
      </c>
      <c r="AC69" s="244">
        <f t="shared" si="6"/>
        <v>0</v>
      </c>
      <c r="AD69" s="244">
        <f t="shared" si="7"/>
        <v>0</v>
      </c>
      <c r="AE69" s="244">
        <f t="shared" si="8"/>
        <v>0</v>
      </c>
    </row>
    <row r="70" spans="2:31" ht="24.95" customHeight="1" x14ac:dyDescent="0.2">
      <c r="B70" s="98"/>
      <c r="C70" s="96" t="s">
        <v>96</v>
      </c>
      <c r="D70" s="96" t="s">
        <v>96</v>
      </c>
      <c r="E70" s="67"/>
      <c r="F70" s="99"/>
      <c r="G70" s="97" t="s">
        <v>96</v>
      </c>
      <c r="H70" s="97" t="s">
        <v>96</v>
      </c>
      <c r="I70" s="237" t="str">
        <f t="shared" si="16"/>
        <v xml:space="preserve"> </v>
      </c>
      <c r="J70" s="100"/>
      <c r="K70" s="238" t="str">
        <f t="shared" si="17"/>
        <v xml:space="preserve"> </v>
      </c>
      <c r="L70" s="66"/>
      <c r="M70" s="476">
        <f>L70-AMZ!G35-AMZ!H35-AMZ!I35-AMZ!J35-'S8b Ausgleich'!H36-'S8b Ausgleich'!I36-'S8b Ausgleich'!J36</f>
        <v>0</v>
      </c>
      <c r="N70" s="293"/>
      <c r="O70" s="293"/>
      <c r="P70" s="293"/>
      <c r="Q70" s="293"/>
      <c r="R70" s="293"/>
      <c r="S70" s="480">
        <f t="shared" si="11"/>
        <v>0</v>
      </c>
      <c r="T70" s="481">
        <f t="shared" si="12"/>
        <v>0</v>
      </c>
      <c r="U70" s="239" t="str">
        <f t="shared" si="13"/>
        <v/>
      </c>
      <c r="V70" s="19"/>
      <c r="W70" s="19"/>
      <c r="AA70" s="244">
        <f t="shared" si="4"/>
        <v>0</v>
      </c>
      <c r="AB70" s="244">
        <f t="shared" si="5"/>
        <v>0</v>
      </c>
      <c r="AC70" s="244">
        <f t="shared" si="6"/>
        <v>0</v>
      </c>
      <c r="AD70" s="244">
        <f t="shared" si="7"/>
        <v>0</v>
      </c>
      <c r="AE70" s="244">
        <f t="shared" si="8"/>
        <v>0</v>
      </c>
    </row>
    <row r="71" spans="2:31" ht="24.95" customHeight="1" x14ac:dyDescent="0.2">
      <c r="B71" s="98"/>
      <c r="C71" s="96" t="s">
        <v>96</v>
      </c>
      <c r="D71" s="96" t="s">
        <v>96</v>
      </c>
      <c r="E71" s="67"/>
      <c r="F71" s="99"/>
      <c r="G71" s="97" t="s">
        <v>96</v>
      </c>
      <c r="H71" s="97" t="s">
        <v>96</v>
      </c>
      <c r="I71" s="237" t="str">
        <f t="shared" si="16"/>
        <v xml:space="preserve"> </v>
      </c>
      <c r="J71" s="100"/>
      <c r="K71" s="238" t="str">
        <f t="shared" si="17"/>
        <v xml:space="preserve"> </v>
      </c>
      <c r="L71" s="66"/>
      <c r="M71" s="476">
        <f>L71-AMZ!G36-AMZ!H36-AMZ!I36-AMZ!J36-'S8b Ausgleich'!H37-'S8b Ausgleich'!I37-'S8b Ausgleich'!J37</f>
        <v>0</v>
      </c>
      <c r="N71" s="293"/>
      <c r="O71" s="293"/>
      <c r="P71" s="293"/>
      <c r="Q71" s="293"/>
      <c r="R71" s="293"/>
      <c r="S71" s="480">
        <f t="shared" si="11"/>
        <v>0</v>
      </c>
      <c r="T71" s="481">
        <f t="shared" si="12"/>
        <v>0</v>
      </c>
      <c r="U71" s="239" t="str">
        <f t="shared" si="13"/>
        <v/>
      </c>
      <c r="V71" s="19"/>
      <c r="W71" s="19"/>
      <c r="AA71" s="244">
        <f t="shared" si="4"/>
        <v>0</v>
      </c>
      <c r="AB71" s="244">
        <f t="shared" si="5"/>
        <v>0</v>
      </c>
      <c r="AC71" s="244">
        <f t="shared" si="6"/>
        <v>0</v>
      </c>
      <c r="AD71" s="244">
        <f t="shared" si="7"/>
        <v>0</v>
      </c>
      <c r="AE71" s="244">
        <f t="shared" si="8"/>
        <v>0</v>
      </c>
    </row>
    <row r="72" spans="2:31" ht="24.95" customHeight="1" x14ac:dyDescent="0.2">
      <c r="B72" s="98"/>
      <c r="C72" s="96" t="s">
        <v>96</v>
      </c>
      <c r="D72" s="96" t="s">
        <v>96</v>
      </c>
      <c r="E72" s="67"/>
      <c r="F72" s="99"/>
      <c r="G72" s="97" t="s">
        <v>96</v>
      </c>
      <c r="H72" s="97" t="s">
        <v>96</v>
      </c>
      <c r="I72" s="237" t="str">
        <f t="shared" si="16"/>
        <v xml:space="preserve"> </v>
      </c>
      <c r="J72" s="100"/>
      <c r="K72" s="238" t="str">
        <f t="shared" si="17"/>
        <v xml:space="preserve"> </v>
      </c>
      <c r="L72" s="66"/>
      <c r="M72" s="476">
        <f>L72-AMZ!G37-AMZ!H37-AMZ!I37-AMZ!J37-'S8b Ausgleich'!H38-'S8b Ausgleich'!I38-'S8b Ausgleich'!J38</f>
        <v>0</v>
      </c>
      <c r="N72" s="293"/>
      <c r="O72" s="293"/>
      <c r="P72" s="293"/>
      <c r="Q72" s="293"/>
      <c r="R72" s="293"/>
      <c r="S72" s="480">
        <f t="shared" si="11"/>
        <v>0</v>
      </c>
      <c r="T72" s="481">
        <f t="shared" si="12"/>
        <v>0</v>
      </c>
      <c r="U72" s="239" t="str">
        <f t="shared" si="13"/>
        <v/>
      </c>
      <c r="V72" s="19"/>
      <c r="W72" s="19"/>
      <c r="AA72" s="244">
        <f t="shared" si="4"/>
        <v>0</v>
      </c>
      <c r="AB72" s="244">
        <f t="shared" si="5"/>
        <v>0</v>
      </c>
      <c r="AC72" s="244">
        <f t="shared" si="6"/>
        <v>0</v>
      </c>
      <c r="AD72" s="244">
        <f t="shared" si="7"/>
        <v>0</v>
      </c>
      <c r="AE72" s="244">
        <f t="shared" si="8"/>
        <v>0</v>
      </c>
    </row>
    <row r="73" spans="2:31" ht="24.95" customHeight="1" x14ac:dyDescent="0.2">
      <c r="B73" s="98"/>
      <c r="C73" s="96" t="s">
        <v>96</v>
      </c>
      <c r="D73" s="96" t="s">
        <v>96</v>
      </c>
      <c r="E73" s="67"/>
      <c r="F73" s="99"/>
      <c r="G73" s="97" t="s">
        <v>96</v>
      </c>
      <c r="H73" s="97" t="s">
        <v>96</v>
      </c>
      <c r="I73" s="237" t="str">
        <f t="shared" si="16"/>
        <v xml:space="preserve"> </v>
      </c>
      <c r="J73" s="100"/>
      <c r="K73" s="238" t="str">
        <f t="shared" si="17"/>
        <v xml:space="preserve"> </v>
      </c>
      <c r="L73" s="66"/>
      <c r="M73" s="476">
        <f>L73-AMZ!G38-AMZ!H38-AMZ!I38-AMZ!J38-'S8b Ausgleich'!H39-'S8b Ausgleich'!I39-'S8b Ausgleich'!J39</f>
        <v>0</v>
      </c>
      <c r="N73" s="293"/>
      <c r="O73" s="293"/>
      <c r="P73" s="293"/>
      <c r="Q73" s="293"/>
      <c r="R73" s="293"/>
      <c r="S73" s="480">
        <f t="shared" si="11"/>
        <v>0</v>
      </c>
      <c r="T73" s="481">
        <f t="shared" si="12"/>
        <v>0</v>
      </c>
      <c r="U73" s="239" t="str">
        <f t="shared" si="13"/>
        <v/>
      </c>
      <c r="V73" s="19"/>
      <c r="W73" s="19"/>
      <c r="AA73" s="244">
        <f t="shared" si="4"/>
        <v>0</v>
      </c>
      <c r="AB73" s="244">
        <f t="shared" si="5"/>
        <v>0</v>
      </c>
      <c r="AC73" s="244">
        <f t="shared" si="6"/>
        <v>0</v>
      </c>
      <c r="AD73" s="244">
        <f t="shared" si="7"/>
        <v>0</v>
      </c>
      <c r="AE73" s="244">
        <f t="shared" si="8"/>
        <v>0</v>
      </c>
    </row>
    <row r="74" spans="2:31" ht="24.95" customHeight="1" x14ac:dyDescent="0.2">
      <c r="B74" s="98"/>
      <c r="C74" s="96" t="s">
        <v>96</v>
      </c>
      <c r="D74" s="96" t="s">
        <v>96</v>
      </c>
      <c r="E74" s="67"/>
      <c r="F74" s="99"/>
      <c r="G74" s="97" t="s">
        <v>96</v>
      </c>
      <c r="H74" s="97" t="s">
        <v>96</v>
      </c>
      <c r="I74" s="237" t="str">
        <f t="shared" si="16"/>
        <v xml:space="preserve"> </v>
      </c>
      <c r="J74" s="100"/>
      <c r="K74" s="238" t="str">
        <f t="shared" si="17"/>
        <v xml:space="preserve"> </v>
      </c>
      <c r="L74" s="66"/>
      <c r="M74" s="476">
        <f>L74-AMZ!G39-AMZ!H39-AMZ!I39-AMZ!J39-'S8b Ausgleich'!H40-'S8b Ausgleich'!I40-'S8b Ausgleich'!J40</f>
        <v>0</v>
      </c>
      <c r="N74" s="293"/>
      <c r="O74" s="293"/>
      <c r="P74" s="293"/>
      <c r="Q74" s="293"/>
      <c r="R74" s="293"/>
      <c r="S74" s="480">
        <f t="shared" si="11"/>
        <v>0</v>
      </c>
      <c r="T74" s="481">
        <f t="shared" si="12"/>
        <v>0</v>
      </c>
      <c r="U74" s="239" t="str">
        <f t="shared" si="13"/>
        <v/>
      </c>
      <c r="V74" s="19"/>
      <c r="W74" s="19"/>
      <c r="AA74" s="244">
        <f t="shared" si="4"/>
        <v>0</v>
      </c>
      <c r="AB74" s="244">
        <f t="shared" si="5"/>
        <v>0</v>
      </c>
      <c r="AC74" s="244">
        <f t="shared" si="6"/>
        <v>0</v>
      </c>
      <c r="AD74" s="244">
        <f t="shared" si="7"/>
        <v>0</v>
      </c>
      <c r="AE74" s="244">
        <f t="shared" si="8"/>
        <v>0</v>
      </c>
    </row>
    <row r="75" spans="2:31" ht="24.95" customHeight="1" x14ac:dyDescent="0.2">
      <c r="B75" s="98"/>
      <c r="C75" s="96" t="s">
        <v>96</v>
      </c>
      <c r="D75" s="96" t="s">
        <v>96</v>
      </c>
      <c r="E75" s="67"/>
      <c r="F75" s="99"/>
      <c r="G75" s="97" t="s">
        <v>96</v>
      </c>
      <c r="H75" s="97" t="s">
        <v>96</v>
      </c>
      <c r="I75" s="237" t="str">
        <f t="shared" si="16"/>
        <v xml:space="preserve"> </v>
      </c>
      <c r="J75" s="100"/>
      <c r="K75" s="238" t="str">
        <f t="shared" si="17"/>
        <v xml:space="preserve"> </v>
      </c>
      <c r="L75" s="66"/>
      <c r="M75" s="476">
        <f>L75-AMZ!G40-AMZ!H40-AMZ!I40-AMZ!J40-'S8b Ausgleich'!H41-'S8b Ausgleich'!I41-'S8b Ausgleich'!J41</f>
        <v>0</v>
      </c>
      <c r="N75" s="293"/>
      <c r="O75" s="293"/>
      <c r="P75" s="293"/>
      <c r="Q75" s="293"/>
      <c r="R75" s="293"/>
      <c r="S75" s="480">
        <f t="shared" si="11"/>
        <v>0</v>
      </c>
      <c r="T75" s="481">
        <f t="shared" si="12"/>
        <v>0</v>
      </c>
      <c r="U75" s="239" t="str">
        <f t="shared" si="13"/>
        <v/>
      </c>
      <c r="V75" s="19"/>
      <c r="W75" s="19"/>
      <c r="AA75" s="244">
        <f t="shared" si="4"/>
        <v>0</v>
      </c>
      <c r="AB75" s="244">
        <f t="shared" si="5"/>
        <v>0</v>
      </c>
      <c r="AC75" s="244">
        <f t="shared" si="6"/>
        <v>0</v>
      </c>
      <c r="AD75" s="244">
        <f t="shared" si="7"/>
        <v>0</v>
      </c>
      <c r="AE75" s="244">
        <f t="shared" si="8"/>
        <v>0</v>
      </c>
    </row>
    <row r="76" spans="2:31" ht="24.95" customHeight="1" x14ac:dyDescent="0.2">
      <c r="B76" s="98"/>
      <c r="C76" s="96" t="s">
        <v>96</v>
      </c>
      <c r="D76" s="96" t="s">
        <v>96</v>
      </c>
      <c r="E76" s="67"/>
      <c r="F76" s="99"/>
      <c r="G76" s="97" t="s">
        <v>96</v>
      </c>
      <c r="H76" s="97" t="s">
        <v>96</v>
      </c>
      <c r="I76" s="237" t="str">
        <f t="shared" si="16"/>
        <v xml:space="preserve"> </v>
      </c>
      <c r="J76" s="100"/>
      <c r="K76" s="238" t="str">
        <f t="shared" si="17"/>
        <v xml:space="preserve"> </v>
      </c>
      <c r="L76" s="66"/>
      <c r="M76" s="476">
        <f>L76-AMZ!G41-AMZ!H41-AMZ!I41-AMZ!J41-'S8b Ausgleich'!H42-'S8b Ausgleich'!I42-'S8b Ausgleich'!J42</f>
        <v>0</v>
      </c>
      <c r="N76" s="293"/>
      <c r="O76" s="293"/>
      <c r="P76" s="293"/>
      <c r="Q76" s="293"/>
      <c r="R76" s="293"/>
      <c r="S76" s="480">
        <f t="shared" si="11"/>
        <v>0</v>
      </c>
      <c r="T76" s="481">
        <f t="shared" si="12"/>
        <v>0</v>
      </c>
      <c r="U76" s="239" t="str">
        <f t="shared" si="13"/>
        <v/>
      </c>
      <c r="V76" s="19"/>
      <c r="W76" s="19"/>
      <c r="AA76" s="244">
        <f t="shared" si="4"/>
        <v>0</v>
      </c>
      <c r="AB76" s="244">
        <f t="shared" si="5"/>
        <v>0</v>
      </c>
      <c r="AC76" s="244">
        <f t="shared" si="6"/>
        <v>0</v>
      </c>
      <c r="AD76" s="244">
        <f t="shared" si="7"/>
        <v>0</v>
      </c>
      <c r="AE76" s="244">
        <f t="shared" si="8"/>
        <v>0</v>
      </c>
    </row>
    <row r="77" spans="2:31" ht="24.95" customHeight="1" x14ac:dyDescent="0.2">
      <c r="B77" s="98"/>
      <c r="C77" s="96" t="s">
        <v>96</v>
      </c>
      <c r="D77" s="96" t="s">
        <v>96</v>
      </c>
      <c r="E77" s="67"/>
      <c r="F77" s="99"/>
      <c r="G77" s="97" t="s">
        <v>96</v>
      </c>
      <c r="H77" s="97" t="s">
        <v>96</v>
      </c>
      <c r="I77" s="237" t="str">
        <f t="shared" si="16"/>
        <v xml:space="preserve"> </v>
      </c>
      <c r="J77" s="100"/>
      <c r="K77" s="238" t="str">
        <f t="shared" si="17"/>
        <v xml:space="preserve"> </v>
      </c>
      <c r="L77" s="66"/>
      <c r="M77" s="476">
        <f>L77-AMZ!G42-AMZ!H42-AMZ!I42-AMZ!J42-'S8b Ausgleich'!H43-'S8b Ausgleich'!I43-'S8b Ausgleich'!J43</f>
        <v>0</v>
      </c>
      <c r="N77" s="293"/>
      <c r="O77" s="293"/>
      <c r="P77" s="293"/>
      <c r="Q77" s="293"/>
      <c r="R77" s="293"/>
      <c r="S77" s="480">
        <f t="shared" si="11"/>
        <v>0</v>
      </c>
      <c r="T77" s="481">
        <f t="shared" si="12"/>
        <v>0</v>
      </c>
      <c r="U77" s="239" t="str">
        <f t="shared" si="13"/>
        <v/>
      </c>
      <c r="V77" s="19"/>
      <c r="W77" s="19"/>
      <c r="AA77" s="244">
        <f t="shared" si="4"/>
        <v>0</v>
      </c>
      <c r="AB77" s="244">
        <f t="shared" si="5"/>
        <v>0</v>
      </c>
      <c r="AC77" s="244">
        <f t="shared" si="6"/>
        <v>0</v>
      </c>
      <c r="AD77" s="244">
        <f t="shared" si="7"/>
        <v>0</v>
      </c>
      <c r="AE77" s="244">
        <f t="shared" si="8"/>
        <v>0</v>
      </c>
    </row>
    <row r="78" spans="2:31" ht="24.95" customHeight="1" x14ac:dyDescent="0.2">
      <c r="B78" s="98"/>
      <c r="C78" s="96" t="s">
        <v>96</v>
      </c>
      <c r="D78" s="96" t="s">
        <v>96</v>
      </c>
      <c r="E78" s="67"/>
      <c r="F78" s="99"/>
      <c r="G78" s="97" t="s">
        <v>96</v>
      </c>
      <c r="H78" s="97" t="s">
        <v>96</v>
      </c>
      <c r="I78" s="237" t="str">
        <f t="shared" si="16"/>
        <v xml:space="preserve"> </v>
      </c>
      <c r="J78" s="100"/>
      <c r="K78" s="238" t="str">
        <f t="shared" si="17"/>
        <v xml:space="preserve"> </v>
      </c>
      <c r="L78" s="66"/>
      <c r="M78" s="476">
        <f>L78-AMZ!G43-AMZ!H43-AMZ!I43-AMZ!J43-'S8b Ausgleich'!H44-'S8b Ausgleich'!I44-'S8b Ausgleich'!J44</f>
        <v>0</v>
      </c>
      <c r="N78" s="293"/>
      <c r="O78" s="293"/>
      <c r="P78" s="293"/>
      <c r="Q78" s="293"/>
      <c r="R78" s="293"/>
      <c r="S78" s="480">
        <f t="shared" si="11"/>
        <v>0</v>
      </c>
      <c r="T78" s="481">
        <f t="shared" si="12"/>
        <v>0</v>
      </c>
      <c r="U78" s="239" t="str">
        <f t="shared" si="13"/>
        <v/>
      </c>
      <c r="V78" s="19"/>
      <c r="W78" s="19"/>
      <c r="AA78" s="244">
        <f t="shared" si="4"/>
        <v>0</v>
      </c>
      <c r="AB78" s="244">
        <f t="shared" si="5"/>
        <v>0</v>
      </c>
      <c r="AC78" s="244">
        <f t="shared" si="6"/>
        <v>0</v>
      </c>
      <c r="AD78" s="244">
        <f t="shared" si="7"/>
        <v>0</v>
      </c>
      <c r="AE78" s="244">
        <f t="shared" si="8"/>
        <v>0</v>
      </c>
    </row>
    <row r="79" spans="2:31" ht="24.95" customHeight="1" x14ac:dyDescent="0.2">
      <c r="B79" s="98"/>
      <c r="C79" s="96" t="s">
        <v>96</v>
      </c>
      <c r="D79" s="96" t="s">
        <v>96</v>
      </c>
      <c r="E79" s="67"/>
      <c r="F79" s="99"/>
      <c r="G79" s="97" t="s">
        <v>96</v>
      </c>
      <c r="H79" s="97" t="s">
        <v>96</v>
      </c>
      <c r="I79" s="237" t="str">
        <f t="shared" si="16"/>
        <v xml:space="preserve"> </v>
      </c>
      <c r="J79" s="100"/>
      <c r="K79" s="238" t="str">
        <f t="shared" si="17"/>
        <v xml:space="preserve"> </v>
      </c>
      <c r="L79" s="66"/>
      <c r="M79" s="476">
        <f>L79-AMZ!G44-AMZ!H44-AMZ!I44-AMZ!J44-'S8b Ausgleich'!H45-'S8b Ausgleich'!I45-'S8b Ausgleich'!J45</f>
        <v>0</v>
      </c>
      <c r="N79" s="293"/>
      <c r="O79" s="293"/>
      <c r="P79" s="293"/>
      <c r="Q79" s="293"/>
      <c r="R79" s="293"/>
      <c r="S79" s="480">
        <f t="shared" si="11"/>
        <v>0</v>
      </c>
      <c r="T79" s="481">
        <f t="shared" si="12"/>
        <v>0</v>
      </c>
      <c r="U79" s="239" t="str">
        <f t="shared" si="13"/>
        <v/>
      </c>
      <c r="V79" s="19"/>
      <c r="W79" s="19"/>
      <c r="AA79" s="244">
        <f t="shared" si="4"/>
        <v>0</v>
      </c>
      <c r="AB79" s="244">
        <f t="shared" si="5"/>
        <v>0</v>
      </c>
      <c r="AC79" s="244">
        <f t="shared" si="6"/>
        <v>0</v>
      </c>
      <c r="AD79" s="244">
        <f t="shared" si="7"/>
        <v>0</v>
      </c>
      <c r="AE79" s="244">
        <f t="shared" si="8"/>
        <v>0</v>
      </c>
    </row>
    <row r="80" spans="2:31" ht="24.95" customHeight="1" x14ac:dyDescent="0.2">
      <c r="B80" s="98"/>
      <c r="C80" s="96" t="s">
        <v>96</v>
      </c>
      <c r="D80" s="96" t="s">
        <v>96</v>
      </c>
      <c r="E80" s="67"/>
      <c r="F80" s="99"/>
      <c r="G80" s="97" t="s">
        <v>96</v>
      </c>
      <c r="H80" s="97" t="s">
        <v>96</v>
      </c>
      <c r="I80" s="237" t="str">
        <f t="shared" si="16"/>
        <v xml:space="preserve"> </v>
      </c>
      <c r="J80" s="100"/>
      <c r="K80" s="238" t="str">
        <f t="shared" si="17"/>
        <v xml:space="preserve"> </v>
      </c>
      <c r="L80" s="66"/>
      <c r="M80" s="476">
        <f>L80-AMZ!G45-AMZ!H45-AMZ!I45-AMZ!J45-'S8b Ausgleich'!H46-'S8b Ausgleich'!I46-'S8b Ausgleich'!J46</f>
        <v>0</v>
      </c>
      <c r="N80" s="293"/>
      <c r="O80" s="293"/>
      <c r="P80" s="293"/>
      <c r="Q80" s="293"/>
      <c r="R80" s="293"/>
      <c r="S80" s="480">
        <f t="shared" si="11"/>
        <v>0</v>
      </c>
      <c r="T80" s="481">
        <f t="shared" si="12"/>
        <v>0</v>
      </c>
      <c r="U80" s="239" t="str">
        <f t="shared" si="13"/>
        <v/>
      </c>
      <c r="V80" s="19"/>
      <c r="W80" s="19"/>
      <c r="AA80" s="244">
        <f t="shared" si="4"/>
        <v>0</v>
      </c>
      <c r="AB80" s="244">
        <f t="shared" si="5"/>
        <v>0</v>
      </c>
      <c r="AC80" s="244">
        <f t="shared" si="6"/>
        <v>0</v>
      </c>
      <c r="AD80" s="244">
        <f t="shared" si="7"/>
        <v>0</v>
      </c>
      <c r="AE80" s="244">
        <f t="shared" si="8"/>
        <v>0</v>
      </c>
    </row>
    <row r="81" spans="1:31" ht="24.95" customHeight="1" x14ac:dyDescent="0.2">
      <c r="B81" s="98"/>
      <c r="C81" s="96" t="s">
        <v>96</v>
      </c>
      <c r="D81" s="96" t="s">
        <v>96</v>
      </c>
      <c r="E81" s="67"/>
      <c r="F81" s="99"/>
      <c r="G81" s="97" t="s">
        <v>96</v>
      </c>
      <c r="H81" s="97" t="s">
        <v>96</v>
      </c>
      <c r="I81" s="237" t="str">
        <f t="shared" si="16"/>
        <v xml:space="preserve"> </v>
      </c>
      <c r="J81" s="100"/>
      <c r="K81" s="238" t="str">
        <f t="shared" si="17"/>
        <v xml:space="preserve"> </v>
      </c>
      <c r="L81" s="66"/>
      <c r="M81" s="476">
        <f>L81-AMZ!G46-AMZ!H46-AMZ!I46-AMZ!J46-'S8b Ausgleich'!H47-'S8b Ausgleich'!I47-'S8b Ausgleich'!J47</f>
        <v>0</v>
      </c>
      <c r="N81" s="293"/>
      <c r="O81" s="293"/>
      <c r="P81" s="293"/>
      <c r="Q81" s="293"/>
      <c r="R81" s="293"/>
      <c r="S81" s="480">
        <f t="shared" si="11"/>
        <v>0</v>
      </c>
      <c r="T81" s="481">
        <f t="shared" si="12"/>
        <v>0</v>
      </c>
      <c r="U81" s="239" t="str">
        <f t="shared" si="13"/>
        <v/>
      </c>
      <c r="V81" s="19"/>
      <c r="W81" s="19"/>
      <c r="AA81" s="244">
        <f t="shared" si="4"/>
        <v>0</v>
      </c>
      <c r="AB81" s="244">
        <f t="shared" si="5"/>
        <v>0</v>
      </c>
      <c r="AC81" s="244">
        <f t="shared" si="6"/>
        <v>0</v>
      </c>
      <c r="AD81" s="244">
        <f t="shared" si="7"/>
        <v>0</v>
      </c>
      <c r="AE81" s="244">
        <f t="shared" si="8"/>
        <v>0</v>
      </c>
    </row>
    <row r="82" spans="1:31" ht="24.95" customHeight="1" x14ac:dyDescent="0.2">
      <c r="B82" s="98"/>
      <c r="C82" s="96" t="s">
        <v>96</v>
      </c>
      <c r="D82" s="96" t="s">
        <v>96</v>
      </c>
      <c r="E82" s="67"/>
      <c r="F82" s="99"/>
      <c r="G82" s="97" t="s">
        <v>96</v>
      </c>
      <c r="H82" s="97" t="s">
        <v>96</v>
      </c>
      <c r="I82" s="237" t="str">
        <f t="shared" si="16"/>
        <v xml:space="preserve"> </v>
      </c>
      <c r="J82" s="100"/>
      <c r="K82" s="238" t="str">
        <f t="shared" si="17"/>
        <v xml:space="preserve"> </v>
      </c>
      <c r="L82" s="66"/>
      <c r="M82" s="476">
        <f>L82-AMZ!G47-AMZ!H47-AMZ!I47-AMZ!J47-'S8b Ausgleich'!H48-'S8b Ausgleich'!I48-'S8b Ausgleich'!J48</f>
        <v>0</v>
      </c>
      <c r="N82" s="293"/>
      <c r="O82" s="293"/>
      <c r="P82" s="293"/>
      <c r="Q82" s="293"/>
      <c r="R82" s="293"/>
      <c r="S82" s="480">
        <f t="shared" si="11"/>
        <v>0</v>
      </c>
      <c r="T82" s="481">
        <f t="shared" si="12"/>
        <v>0</v>
      </c>
      <c r="U82" s="239" t="str">
        <f t="shared" si="13"/>
        <v/>
      </c>
      <c r="V82" s="19"/>
      <c r="W82" s="19"/>
      <c r="AA82" s="244">
        <f t="shared" si="4"/>
        <v>0</v>
      </c>
      <c r="AB82" s="244">
        <f t="shared" si="5"/>
        <v>0</v>
      </c>
      <c r="AC82" s="244">
        <f t="shared" si="6"/>
        <v>0</v>
      </c>
      <c r="AD82" s="244">
        <f t="shared" si="7"/>
        <v>0</v>
      </c>
      <c r="AE82" s="244">
        <f t="shared" si="8"/>
        <v>0</v>
      </c>
    </row>
    <row r="83" spans="1:31" ht="24.95" customHeight="1" x14ac:dyDescent="0.2">
      <c r="B83" s="98"/>
      <c r="C83" s="96" t="s">
        <v>96</v>
      </c>
      <c r="D83" s="96" t="s">
        <v>96</v>
      </c>
      <c r="E83" s="67"/>
      <c r="F83" s="99"/>
      <c r="G83" s="97" t="s">
        <v>96</v>
      </c>
      <c r="H83" s="97" t="s">
        <v>96</v>
      </c>
      <c r="I83" s="237" t="str">
        <f t="shared" si="16"/>
        <v xml:space="preserve"> </v>
      </c>
      <c r="J83" s="100"/>
      <c r="K83" s="238" t="str">
        <f t="shared" si="17"/>
        <v xml:space="preserve"> </v>
      </c>
      <c r="L83" s="66"/>
      <c r="M83" s="476">
        <f>L83-AMZ!G48-AMZ!H48-AMZ!I48-AMZ!J48-'S8b Ausgleich'!H49-'S8b Ausgleich'!I49-'S8b Ausgleich'!J49</f>
        <v>0</v>
      </c>
      <c r="N83" s="293"/>
      <c r="O83" s="293"/>
      <c r="P83" s="293"/>
      <c r="Q83" s="293"/>
      <c r="R83" s="293"/>
      <c r="S83" s="480">
        <f t="shared" si="11"/>
        <v>0</v>
      </c>
      <c r="T83" s="481">
        <f t="shared" si="12"/>
        <v>0</v>
      </c>
      <c r="U83" s="239" t="str">
        <f t="shared" si="13"/>
        <v/>
      </c>
      <c r="V83" s="19"/>
      <c r="W83" s="19"/>
      <c r="AA83" s="244">
        <f t="shared" si="4"/>
        <v>0</v>
      </c>
      <c r="AB83" s="244">
        <f t="shared" si="5"/>
        <v>0</v>
      </c>
      <c r="AC83" s="244">
        <f t="shared" si="6"/>
        <v>0</v>
      </c>
      <c r="AD83" s="244">
        <f t="shared" si="7"/>
        <v>0</v>
      </c>
      <c r="AE83" s="244">
        <f t="shared" si="8"/>
        <v>0</v>
      </c>
    </row>
    <row r="84" spans="1:31" ht="24.95" customHeight="1" x14ac:dyDescent="0.2">
      <c r="B84" s="98"/>
      <c r="C84" s="96" t="s">
        <v>96</v>
      </c>
      <c r="D84" s="96" t="s">
        <v>96</v>
      </c>
      <c r="E84" s="67"/>
      <c r="F84" s="99"/>
      <c r="G84" s="97" t="s">
        <v>96</v>
      </c>
      <c r="H84" s="97" t="s">
        <v>96</v>
      </c>
      <c r="I84" s="237" t="str">
        <f t="shared" si="16"/>
        <v xml:space="preserve"> </v>
      </c>
      <c r="J84" s="100"/>
      <c r="K84" s="238" t="str">
        <f t="shared" si="17"/>
        <v xml:space="preserve"> </v>
      </c>
      <c r="L84" s="66"/>
      <c r="M84" s="476">
        <f>L84-AMZ!G49-AMZ!H49-AMZ!I49-AMZ!J49-'S8b Ausgleich'!H50-'S8b Ausgleich'!I50-'S8b Ausgleich'!J50</f>
        <v>0</v>
      </c>
      <c r="N84" s="293"/>
      <c r="O84" s="293"/>
      <c r="P84" s="293"/>
      <c r="Q84" s="293"/>
      <c r="R84" s="293"/>
      <c r="S84" s="480">
        <f t="shared" si="11"/>
        <v>0</v>
      </c>
      <c r="T84" s="481">
        <f t="shared" si="12"/>
        <v>0</v>
      </c>
      <c r="U84" s="239" t="str">
        <f t="shared" si="13"/>
        <v/>
      </c>
      <c r="V84" s="19"/>
      <c r="W84" s="19"/>
      <c r="AA84" s="244">
        <f t="shared" si="4"/>
        <v>0</v>
      </c>
      <c r="AB84" s="244">
        <f t="shared" si="5"/>
        <v>0</v>
      </c>
      <c r="AC84" s="244">
        <f t="shared" si="6"/>
        <v>0</v>
      </c>
      <c r="AD84" s="244">
        <f t="shared" si="7"/>
        <v>0</v>
      </c>
      <c r="AE84" s="244">
        <f t="shared" si="8"/>
        <v>0</v>
      </c>
    </row>
    <row r="85" spans="1:31" ht="24.95" customHeight="1" x14ac:dyDescent="0.2">
      <c r="B85" s="98"/>
      <c r="C85" s="96" t="s">
        <v>96</v>
      </c>
      <c r="D85" s="96" t="s">
        <v>96</v>
      </c>
      <c r="E85" s="67"/>
      <c r="F85" s="99"/>
      <c r="G85" s="97" t="s">
        <v>96</v>
      </c>
      <c r="H85" s="97" t="s">
        <v>96</v>
      </c>
      <c r="I85" s="237" t="str">
        <f t="shared" si="16"/>
        <v xml:space="preserve"> </v>
      </c>
      <c r="J85" s="100"/>
      <c r="K85" s="238" t="str">
        <f t="shared" si="17"/>
        <v xml:space="preserve"> </v>
      </c>
      <c r="L85" s="66"/>
      <c r="M85" s="476">
        <f>L85-AMZ!G50-AMZ!H50-AMZ!I50-AMZ!J50-'S8b Ausgleich'!H51-'S8b Ausgleich'!I51-'S8b Ausgleich'!J51</f>
        <v>0</v>
      </c>
      <c r="N85" s="293"/>
      <c r="O85" s="293"/>
      <c r="P85" s="293"/>
      <c r="Q85" s="293"/>
      <c r="R85" s="293"/>
      <c r="S85" s="480">
        <f t="shared" si="11"/>
        <v>0</v>
      </c>
      <c r="T85" s="481">
        <f t="shared" si="12"/>
        <v>0</v>
      </c>
      <c r="U85" s="239" t="str">
        <f t="shared" si="13"/>
        <v/>
      </c>
      <c r="V85" s="19"/>
      <c r="W85" s="19"/>
      <c r="AA85" s="244">
        <f t="shared" si="4"/>
        <v>0</v>
      </c>
      <c r="AB85" s="244">
        <f t="shared" si="5"/>
        <v>0</v>
      </c>
      <c r="AC85" s="244">
        <f t="shared" si="6"/>
        <v>0</v>
      </c>
      <c r="AD85" s="244">
        <f t="shared" si="7"/>
        <v>0</v>
      </c>
      <c r="AE85" s="244">
        <f t="shared" si="8"/>
        <v>0</v>
      </c>
    </row>
    <row r="86" spans="1:31" ht="24.95" customHeight="1" x14ac:dyDescent="0.2">
      <c r="B86" s="98"/>
      <c r="C86" s="96" t="s">
        <v>96</v>
      </c>
      <c r="D86" s="96" t="s">
        <v>96</v>
      </c>
      <c r="E86" s="67"/>
      <c r="F86" s="99"/>
      <c r="G86" s="97" t="s">
        <v>96</v>
      </c>
      <c r="H86" s="97" t="s">
        <v>96</v>
      </c>
      <c r="I86" s="237" t="str">
        <f t="shared" si="16"/>
        <v xml:space="preserve"> </v>
      </c>
      <c r="J86" s="100"/>
      <c r="K86" s="238" t="str">
        <f t="shared" si="17"/>
        <v xml:space="preserve"> </v>
      </c>
      <c r="L86" s="66"/>
      <c r="M86" s="476">
        <f>L86-AMZ!G51-AMZ!H51-AMZ!I51-AMZ!J51-'S8b Ausgleich'!H52-'S8b Ausgleich'!I52-'S8b Ausgleich'!J52</f>
        <v>0</v>
      </c>
      <c r="N86" s="293"/>
      <c r="O86" s="293"/>
      <c r="P86" s="293"/>
      <c r="Q86" s="293"/>
      <c r="R86" s="293"/>
      <c r="S86" s="480">
        <f t="shared" si="11"/>
        <v>0</v>
      </c>
      <c r="T86" s="481">
        <f t="shared" si="12"/>
        <v>0</v>
      </c>
      <c r="U86" s="239" t="str">
        <f t="shared" si="13"/>
        <v/>
      </c>
      <c r="V86" s="19"/>
      <c r="W86" s="19"/>
      <c r="AA86" s="244">
        <f t="shared" si="4"/>
        <v>0</v>
      </c>
      <c r="AB86" s="244">
        <f t="shared" si="5"/>
        <v>0</v>
      </c>
      <c r="AC86" s="244">
        <f t="shared" si="6"/>
        <v>0</v>
      </c>
      <c r="AD86" s="244">
        <f t="shared" si="7"/>
        <v>0</v>
      </c>
      <c r="AE86" s="244">
        <f t="shared" si="8"/>
        <v>0</v>
      </c>
    </row>
    <row r="87" spans="1:31" ht="24.95" customHeight="1" x14ac:dyDescent="0.2">
      <c r="B87" s="98"/>
      <c r="C87" s="96" t="s">
        <v>96</v>
      </c>
      <c r="D87" s="96" t="s">
        <v>96</v>
      </c>
      <c r="E87" s="67"/>
      <c r="F87" s="99"/>
      <c r="G87" s="97" t="s">
        <v>96</v>
      </c>
      <c r="H87" s="97" t="s">
        <v>96</v>
      </c>
      <c r="I87" s="237" t="str">
        <f t="shared" si="16"/>
        <v xml:space="preserve"> </v>
      </c>
      <c r="J87" s="100"/>
      <c r="K87" s="238" t="str">
        <f t="shared" si="17"/>
        <v xml:space="preserve"> </v>
      </c>
      <c r="L87" s="66"/>
      <c r="M87" s="476">
        <f>L87-AMZ!G52-AMZ!H52-AMZ!I52-AMZ!J52-'S8b Ausgleich'!H53-'S8b Ausgleich'!I53-'S8b Ausgleich'!J53</f>
        <v>0</v>
      </c>
      <c r="N87" s="293"/>
      <c r="O87" s="293"/>
      <c r="P87" s="293"/>
      <c r="Q87" s="293"/>
      <c r="R87" s="293"/>
      <c r="S87" s="480">
        <f>IFERROR(M94/K94*T94,0)</f>
        <v>0</v>
      </c>
      <c r="T87" s="481">
        <f t="shared" si="12"/>
        <v>0</v>
      </c>
      <c r="U87" s="239" t="str">
        <f t="shared" si="13"/>
        <v/>
      </c>
      <c r="V87" s="19"/>
      <c r="W87" s="19"/>
      <c r="AA87" s="244">
        <f t="shared" si="4"/>
        <v>0</v>
      </c>
      <c r="AB87" s="244">
        <f t="shared" si="5"/>
        <v>0</v>
      </c>
      <c r="AC87" s="244">
        <f t="shared" si="6"/>
        <v>0</v>
      </c>
      <c r="AD87" s="244">
        <f t="shared" si="7"/>
        <v>0</v>
      </c>
      <c r="AE87" s="244">
        <f t="shared" si="8"/>
        <v>0</v>
      </c>
    </row>
    <row r="88" spans="1:31" ht="23.25" customHeight="1" x14ac:dyDescent="0.2">
      <c r="B88" s="333"/>
      <c r="C88" s="333"/>
      <c r="D88" s="333"/>
      <c r="E88" s="333"/>
      <c r="F88" s="333"/>
      <c r="G88" s="333"/>
      <c r="H88" s="333"/>
      <c r="I88" s="333"/>
      <c r="J88" s="333"/>
      <c r="K88" s="333"/>
      <c r="L88" s="333"/>
      <c r="M88" s="333"/>
      <c r="N88" s="333"/>
      <c r="O88" s="333"/>
      <c r="P88" s="333"/>
      <c r="Q88" s="333"/>
      <c r="R88" s="333"/>
      <c r="S88" s="333"/>
      <c r="T88" s="333"/>
      <c r="U88" s="333"/>
      <c r="V88" s="175"/>
      <c r="W88" s="21"/>
    </row>
    <row r="89" spans="1:31" ht="14.25" hidden="1" x14ac:dyDescent="0.2">
      <c r="B89" s="175"/>
      <c r="C89" s="175"/>
      <c r="D89" s="175"/>
      <c r="E89" s="175"/>
      <c r="F89" s="175"/>
      <c r="G89" s="175"/>
      <c r="H89" s="175"/>
      <c r="I89" s="175"/>
      <c r="J89" s="175"/>
      <c r="K89" s="175"/>
      <c r="L89" s="175"/>
      <c r="M89" s="175"/>
      <c r="N89" s="175"/>
      <c r="O89" s="228"/>
      <c r="P89" s="228"/>
      <c r="Q89" s="228"/>
      <c r="R89" s="228"/>
      <c r="S89" s="228"/>
      <c r="T89" s="228"/>
      <c r="U89" s="175"/>
      <c r="V89" s="175"/>
      <c r="W89" s="21"/>
    </row>
    <row r="90" spans="1:31" ht="36" customHeight="1" thickBot="1" x14ac:dyDescent="0.25">
      <c r="A90" s="101">
        <v>62</v>
      </c>
      <c r="B90" s="661" t="s">
        <v>386</v>
      </c>
      <c r="C90" s="662"/>
      <c r="D90" s="662"/>
      <c r="E90" s="662"/>
      <c r="F90" s="662"/>
      <c r="G90" s="662"/>
      <c r="H90" s="662"/>
      <c r="I90" s="662"/>
      <c r="J90" s="662"/>
      <c r="K90" s="662"/>
      <c r="L90" s="662"/>
      <c r="M90" s="662"/>
      <c r="N90" s="662"/>
      <c r="O90" s="662"/>
      <c r="P90" s="662"/>
      <c r="Q90" s="662"/>
      <c r="R90" s="662"/>
      <c r="S90" s="662"/>
      <c r="T90" s="662"/>
      <c r="U90" s="662"/>
      <c r="V90" s="65"/>
      <c r="W90" s="21"/>
    </row>
    <row r="91" spans="1:31" ht="26.1" customHeight="1" thickBot="1" x14ac:dyDescent="0.25">
      <c r="B91" s="625" t="s">
        <v>210</v>
      </c>
      <c r="C91" s="628" t="s">
        <v>85</v>
      </c>
      <c r="D91" s="628" t="s">
        <v>185</v>
      </c>
      <c r="E91" s="628" t="s">
        <v>258</v>
      </c>
      <c r="F91" s="628" t="s">
        <v>104</v>
      </c>
      <c r="G91" s="629" t="s">
        <v>7</v>
      </c>
      <c r="H91" s="629"/>
      <c r="I91" s="628" t="s">
        <v>8</v>
      </c>
      <c r="J91" s="628" t="s">
        <v>390</v>
      </c>
      <c r="K91" s="628" t="s">
        <v>259</v>
      </c>
      <c r="L91" s="628" t="s">
        <v>366</v>
      </c>
      <c r="M91" s="643" t="s">
        <v>331</v>
      </c>
      <c r="N91" s="656" t="s">
        <v>325</v>
      </c>
      <c r="O91" s="657"/>
      <c r="P91" s="657"/>
      <c r="Q91" s="657"/>
      <c r="R91" s="658"/>
      <c r="S91" s="236"/>
      <c r="T91" s="233"/>
      <c r="U91" s="233"/>
      <c r="V91" s="21"/>
      <c r="AA91" s="656" t="s">
        <v>325</v>
      </c>
      <c r="AB91" s="657"/>
      <c r="AC91" s="657"/>
      <c r="AD91" s="657"/>
      <c r="AE91" s="658"/>
    </row>
    <row r="92" spans="1:31" ht="14.25" customHeight="1" x14ac:dyDescent="0.2">
      <c r="B92" s="626"/>
      <c r="C92" s="628"/>
      <c r="D92" s="628"/>
      <c r="E92" s="628"/>
      <c r="F92" s="628"/>
      <c r="G92" s="628" t="s">
        <v>9</v>
      </c>
      <c r="H92" s="628" t="s">
        <v>10</v>
      </c>
      <c r="I92" s="628"/>
      <c r="J92" s="628"/>
      <c r="K92" s="628"/>
      <c r="L92" s="628"/>
      <c r="M92" s="644"/>
      <c r="N92" s="646" t="s">
        <v>194</v>
      </c>
      <c r="O92" s="646" t="s">
        <v>195</v>
      </c>
      <c r="P92" s="646" t="s">
        <v>196</v>
      </c>
      <c r="Q92" s="646" t="s">
        <v>326</v>
      </c>
      <c r="R92" s="646" t="s">
        <v>198</v>
      </c>
      <c r="S92" s="659" t="s">
        <v>391</v>
      </c>
      <c r="T92" s="714" t="s">
        <v>392</v>
      </c>
      <c r="U92" s="663" t="s">
        <v>327</v>
      </c>
      <c r="V92" s="21"/>
      <c r="AA92" s="646" t="s">
        <v>194</v>
      </c>
      <c r="AB92" s="646" t="s">
        <v>195</v>
      </c>
      <c r="AC92" s="646" t="s">
        <v>196</v>
      </c>
      <c r="AD92" s="646" t="s">
        <v>326</v>
      </c>
      <c r="AE92" s="646" t="s">
        <v>198</v>
      </c>
    </row>
    <row r="93" spans="1:31" ht="88.5" customHeight="1" x14ac:dyDescent="0.2">
      <c r="A93" s="101">
        <v>63</v>
      </c>
      <c r="B93" s="627"/>
      <c r="C93" s="628"/>
      <c r="D93" s="628"/>
      <c r="E93" s="628"/>
      <c r="F93" s="628"/>
      <c r="G93" s="628"/>
      <c r="H93" s="628"/>
      <c r="I93" s="628"/>
      <c r="J93" s="628"/>
      <c r="K93" s="628"/>
      <c r="L93" s="628"/>
      <c r="M93" s="645"/>
      <c r="N93" s="647"/>
      <c r="O93" s="647"/>
      <c r="P93" s="647"/>
      <c r="Q93" s="647"/>
      <c r="R93" s="647"/>
      <c r="S93" s="660"/>
      <c r="T93" s="660"/>
      <c r="U93" s="647"/>
      <c r="V93" s="21"/>
      <c r="AA93" s="647"/>
      <c r="AB93" s="647"/>
      <c r="AC93" s="647"/>
      <c r="AD93" s="647"/>
      <c r="AE93" s="647"/>
    </row>
    <row r="94" spans="1:31" ht="24.95" customHeight="1" x14ac:dyDescent="0.2">
      <c r="A94" s="101">
        <v>64</v>
      </c>
      <c r="B94" s="98"/>
      <c r="C94" s="96" t="s">
        <v>96</v>
      </c>
      <c r="D94" s="96" t="s">
        <v>96</v>
      </c>
      <c r="E94" s="67"/>
      <c r="F94" s="99"/>
      <c r="G94" s="97" t="s">
        <v>96</v>
      </c>
      <c r="H94" s="97" t="s">
        <v>96</v>
      </c>
      <c r="I94" s="237" t="str">
        <f t="shared" ref="I94:I99" si="18">IF(ISERROR(DATEDIF(G94,H94,"M")+1)," ",DATEDIF(G94,H94,"M")+1)</f>
        <v xml:space="preserve"> </v>
      </c>
      <c r="J94" s="100"/>
      <c r="K94" s="238" t="str">
        <f t="shared" ref="K94:K99" si="19">IF(ISERROR(SUM(I94*J94/12))," ",SUM(I94*J94/12))</f>
        <v xml:space="preserve"> </v>
      </c>
      <c r="L94" s="66"/>
      <c r="M94" s="476">
        <f>L94</f>
        <v>0</v>
      </c>
      <c r="N94" s="293"/>
      <c r="O94" s="293"/>
      <c r="P94" s="293"/>
      <c r="Q94" s="293"/>
      <c r="R94" s="293"/>
      <c r="S94" s="480">
        <f>IFERROR(M94/K94*T94,0)</f>
        <v>0</v>
      </c>
      <c r="T94" s="286">
        <f>SUM(N94:R94)</f>
        <v>0</v>
      </c>
      <c r="U94" s="239" t="str">
        <f>IF(T94&lt;=K94,"","zu viele Personalstunden verteilt")</f>
        <v/>
      </c>
      <c r="V94" s="21"/>
      <c r="W94" s="19"/>
      <c r="AA94" s="244">
        <f t="shared" ref="AA94:AA133" si="20">IFERROR(M94/K94*N94,0)</f>
        <v>0</v>
      </c>
      <c r="AB94" s="244">
        <f t="shared" ref="AB94:AB133" si="21">IFERROR(M94/K94*O94,0)</f>
        <v>0</v>
      </c>
      <c r="AC94" s="244">
        <f t="shared" ref="AC94:AC133" si="22">IFERROR(M94/K94*P94,0)</f>
        <v>0</v>
      </c>
      <c r="AD94" s="244">
        <f t="shared" ref="AD94:AD133" si="23">IFERROR(M94/K94*Q94,0)</f>
        <v>0</v>
      </c>
      <c r="AE94" s="244">
        <f t="shared" ref="AE94:AE133" si="24">IFERROR(M94/K94*R94,0)</f>
        <v>0</v>
      </c>
    </row>
    <row r="95" spans="1:31" ht="24.95" customHeight="1" x14ac:dyDescent="0.2">
      <c r="B95" s="98"/>
      <c r="C95" s="96" t="s">
        <v>96</v>
      </c>
      <c r="D95" s="96" t="s">
        <v>96</v>
      </c>
      <c r="E95" s="67"/>
      <c r="F95" s="99"/>
      <c r="G95" s="97" t="s">
        <v>96</v>
      </c>
      <c r="H95" s="97" t="s">
        <v>96</v>
      </c>
      <c r="I95" s="237" t="str">
        <f t="shared" si="18"/>
        <v xml:space="preserve"> </v>
      </c>
      <c r="J95" s="100"/>
      <c r="K95" s="238" t="str">
        <f t="shared" si="19"/>
        <v xml:space="preserve"> </v>
      </c>
      <c r="L95" s="66"/>
      <c r="M95" s="476">
        <f t="shared" ref="M95:M133" si="25">L95</f>
        <v>0</v>
      </c>
      <c r="N95" s="293"/>
      <c r="O95" s="293"/>
      <c r="P95" s="293"/>
      <c r="Q95" s="293"/>
      <c r="R95" s="293"/>
      <c r="S95" s="480">
        <f t="shared" ref="S95:S133" si="26">IFERROR(M95/K95*T95,0)</f>
        <v>0</v>
      </c>
      <c r="T95" s="286">
        <f t="shared" ref="T95:T133" si="27">SUM(N95:R95)</f>
        <v>0</v>
      </c>
      <c r="U95" s="239" t="str">
        <f t="shared" ref="U95:U133" si="28">IF(T95&lt;=K95,"","zu viele Personalstunden verteilt")</f>
        <v/>
      </c>
      <c r="V95" s="21"/>
      <c r="W95" s="19"/>
      <c r="AA95" s="244">
        <f t="shared" si="20"/>
        <v>0</v>
      </c>
      <c r="AB95" s="244">
        <f t="shared" si="21"/>
        <v>0</v>
      </c>
      <c r="AC95" s="244">
        <f t="shared" si="22"/>
        <v>0</v>
      </c>
      <c r="AD95" s="244">
        <f t="shared" si="23"/>
        <v>0</v>
      </c>
      <c r="AE95" s="244">
        <f t="shared" si="24"/>
        <v>0</v>
      </c>
    </row>
    <row r="96" spans="1:31" ht="24.95" customHeight="1" x14ac:dyDescent="0.2">
      <c r="B96" s="98"/>
      <c r="C96" s="96" t="s">
        <v>96</v>
      </c>
      <c r="D96" s="96" t="s">
        <v>96</v>
      </c>
      <c r="E96" s="67"/>
      <c r="F96" s="99"/>
      <c r="G96" s="97" t="s">
        <v>96</v>
      </c>
      <c r="H96" s="97" t="s">
        <v>96</v>
      </c>
      <c r="I96" s="237" t="str">
        <f t="shared" si="18"/>
        <v xml:space="preserve"> </v>
      </c>
      <c r="J96" s="100"/>
      <c r="K96" s="238" t="str">
        <f t="shared" si="19"/>
        <v xml:space="preserve"> </v>
      </c>
      <c r="L96" s="66"/>
      <c r="M96" s="476">
        <f t="shared" si="25"/>
        <v>0</v>
      </c>
      <c r="N96" s="293"/>
      <c r="O96" s="293"/>
      <c r="P96" s="293"/>
      <c r="Q96" s="293"/>
      <c r="R96" s="293"/>
      <c r="S96" s="480">
        <f t="shared" si="26"/>
        <v>0</v>
      </c>
      <c r="T96" s="286">
        <f t="shared" si="27"/>
        <v>0</v>
      </c>
      <c r="U96" s="239" t="str">
        <f t="shared" si="28"/>
        <v/>
      </c>
      <c r="V96" s="21"/>
      <c r="W96" s="19"/>
      <c r="AA96" s="244">
        <f t="shared" si="20"/>
        <v>0</v>
      </c>
      <c r="AB96" s="244">
        <f t="shared" si="21"/>
        <v>0</v>
      </c>
      <c r="AC96" s="244">
        <f t="shared" si="22"/>
        <v>0</v>
      </c>
      <c r="AD96" s="244">
        <f t="shared" si="23"/>
        <v>0</v>
      </c>
      <c r="AE96" s="244">
        <f t="shared" si="24"/>
        <v>0</v>
      </c>
    </row>
    <row r="97" spans="2:31" ht="24.95" customHeight="1" x14ac:dyDescent="0.2">
      <c r="B97" s="98"/>
      <c r="C97" s="96" t="s">
        <v>96</v>
      </c>
      <c r="D97" s="96" t="s">
        <v>96</v>
      </c>
      <c r="E97" s="67"/>
      <c r="F97" s="99"/>
      <c r="G97" s="97" t="s">
        <v>96</v>
      </c>
      <c r="H97" s="97" t="s">
        <v>96</v>
      </c>
      <c r="I97" s="237" t="str">
        <f t="shared" si="18"/>
        <v xml:space="preserve"> </v>
      </c>
      <c r="J97" s="100"/>
      <c r="K97" s="238" t="str">
        <f t="shared" si="19"/>
        <v xml:space="preserve"> </v>
      </c>
      <c r="L97" s="66"/>
      <c r="M97" s="476">
        <f t="shared" si="25"/>
        <v>0</v>
      </c>
      <c r="N97" s="293"/>
      <c r="O97" s="293"/>
      <c r="P97" s="293"/>
      <c r="Q97" s="293"/>
      <c r="R97" s="293"/>
      <c r="S97" s="480">
        <f t="shared" si="26"/>
        <v>0</v>
      </c>
      <c r="T97" s="286">
        <f t="shared" si="27"/>
        <v>0</v>
      </c>
      <c r="U97" s="239" t="str">
        <f t="shared" si="28"/>
        <v/>
      </c>
      <c r="V97" s="21"/>
      <c r="W97" s="19"/>
      <c r="AA97" s="244">
        <f t="shared" si="20"/>
        <v>0</v>
      </c>
      <c r="AB97" s="244">
        <f t="shared" si="21"/>
        <v>0</v>
      </c>
      <c r="AC97" s="244">
        <f t="shared" si="22"/>
        <v>0</v>
      </c>
      <c r="AD97" s="244">
        <f t="shared" si="23"/>
        <v>0</v>
      </c>
      <c r="AE97" s="244">
        <f t="shared" si="24"/>
        <v>0</v>
      </c>
    </row>
    <row r="98" spans="2:31" ht="24.95" customHeight="1" x14ac:dyDescent="0.2">
      <c r="B98" s="98"/>
      <c r="C98" s="96" t="s">
        <v>96</v>
      </c>
      <c r="D98" s="96" t="s">
        <v>96</v>
      </c>
      <c r="E98" s="67"/>
      <c r="F98" s="99"/>
      <c r="G98" s="97" t="s">
        <v>96</v>
      </c>
      <c r="H98" s="97" t="s">
        <v>96</v>
      </c>
      <c r="I98" s="237" t="str">
        <f t="shared" si="18"/>
        <v xml:space="preserve"> </v>
      </c>
      <c r="J98" s="100"/>
      <c r="K98" s="238" t="str">
        <f t="shared" si="19"/>
        <v xml:space="preserve"> </v>
      </c>
      <c r="L98" s="66"/>
      <c r="M98" s="476">
        <f t="shared" si="25"/>
        <v>0</v>
      </c>
      <c r="N98" s="293"/>
      <c r="O98" s="293"/>
      <c r="P98" s="293"/>
      <c r="Q98" s="293"/>
      <c r="R98" s="293"/>
      <c r="S98" s="480">
        <f t="shared" si="26"/>
        <v>0</v>
      </c>
      <c r="T98" s="286">
        <f t="shared" si="27"/>
        <v>0</v>
      </c>
      <c r="U98" s="239" t="str">
        <f t="shared" si="28"/>
        <v/>
      </c>
      <c r="V98" s="21"/>
      <c r="W98" s="19"/>
      <c r="AA98" s="244">
        <f t="shared" si="20"/>
        <v>0</v>
      </c>
      <c r="AB98" s="244">
        <f t="shared" si="21"/>
        <v>0</v>
      </c>
      <c r="AC98" s="244">
        <f t="shared" si="22"/>
        <v>0</v>
      </c>
      <c r="AD98" s="244">
        <f t="shared" si="23"/>
        <v>0</v>
      </c>
      <c r="AE98" s="244">
        <f t="shared" si="24"/>
        <v>0</v>
      </c>
    </row>
    <row r="99" spans="2:31" ht="24.95" customHeight="1" x14ac:dyDescent="0.2">
      <c r="B99" s="98"/>
      <c r="C99" s="96" t="s">
        <v>96</v>
      </c>
      <c r="D99" s="96" t="s">
        <v>96</v>
      </c>
      <c r="E99" s="67"/>
      <c r="F99" s="99"/>
      <c r="G99" s="97" t="s">
        <v>96</v>
      </c>
      <c r="H99" s="97" t="s">
        <v>96</v>
      </c>
      <c r="I99" s="237" t="str">
        <f t="shared" si="18"/>
        <v xml:space="preserve"> </v>
      </c>
      <c r="J99" s="100"/>
      <c r="K99" s="238" t="str">
        <f t="shared" si="19"/>
        <v xml:space="preserve"> </v>
      </c>
      <c r="L99" s="66"/>
      <c r="M99" s="476">
        <f t="shared" si="25"/>
        <v>0</v>
      </c>
      <c r="N99" s="293"/>
      <c r="O99" s="293"/>
      <c r="P99" s="293"/>
      <c r="Q99" s="293"/>
      <c r="R99" s="293"/>
      <c r="S99" s="480">
        <f t="shared" si="26"/>
        <v>0</v>
      </c>
      <c r="T99" s="286">
        <f t="shared" si="27"/>
        <v>0</v>
      </c>
      <c r="U99" s="239" t="str">
        <f t="shared" si="28"/>
        <v/>
      </c>
      <c r="V99" s="21"/>
      <c r="W99" s="19"/>
      <c r="AA99" s="244">
        <f t="shared" si="20"/>
        <v>0</v>
      </c>
      <c r="AB99" s="244">
        <f t="shared" si="21"/>
        <v>0</v>
      </c>
      <c r="AC99" s="244">
        <f t="shared" si="22"/>
        <v>0</v>
      </c>
      <c r="AD99" s="244">
        <f t="shared" si="23"/>
        <v>0</v>
      </c>
      <c r="AE99" s="244">
        <f t="shared" si="24"/>
        <v>0</v>
      </c>
    </row>
    <row r="100" spans="2:31" ht="24.95" customHeight="1" x14ac:dyDescent="0.2">
      <c r="B100" s="98"/>
      <c r="C100" s="96" t="s">
        <v>96</v>
      </c>
      <c r="D100" s="96" t="s">
        <v>96</v>
      </c>
      <c r="E100" s="67"/>
      <c r="F100" s="99"/>
      <c r="G100" s="97" t="s">
        <v>96</v>
      </c>
      <c r="H100" s="97" t="s">
        <v>96</v>
      </c>
      <c r="I100" s="237" t="str">
        <f t="shared" ref="I100:I144" si="29">IF(ISERROR(DATEDIF(G100,H100,"M")+1)," ",DATEDIF(G100,H100,"M")+1)</f>
        <v xml:space="preserve"> </v>
      </c>
      <c r="J100" s="100"/>
      <c r="K100" s="238" t="str">
        <f t="shared" ref="K100:K144" si="30">IF(ISERROR(SUM(I100*J100/12))," ",SUM(I100*J100/12))</f>
        <v xml:space="preserve"> </v>
      </c>
      <c r="L100" s="66"/>
      <c r="M100" s="476">
        <f t="shared" si="25"/>
        <v>0</v>
      </c>
      <c r="N100" s="293"/>
      <c r="O100" s="293"/>
      <c r="P100" s="293"/>
      <c r="Q100" s="293"/>
      <c r="R100" s="293"/>
      <c r="S100" s="480">
        <f t="shared" si="26"/>
        <v>0</v>
      </c>
      <c r="T100" s="286">
        <f t="shared" si="27"/>
        <v>0</v>
      </c>
      <c r="U100" s="239" t="str">
        <f t="shared" si="28"/>
        <v/>
      </c>
      <c r="V100" s="21"/>
      <c r="W100" s="19"/>
      <c r="AA100" s="244">
        <f t="shared" si="20"/>
        <v>0</v>
      </c>
      <c r="AB100" s="244">
        <f t="shared" si="21"/>
        <v>0</v>
      </c>
      <c r="AC100" s="244">
        <f t="shared" si="22"/>
        <v>0</v>
      </c>
      <c r="AD100" s="244">
        <f t="shared" si="23"/>
        <v>0</v>
      </c>
      <c r="AE100" s="244">
        <f t="shared" si="24"/>
        <v>0</v>
      </c>
    </row>
    <row r="101" spans="2:31" ht="24.95" customHeight="1" x14ac:dyDescent="0.2">
      <c r="B101" s="98"/>
      <c r="C101" s="96" t="s">
        <v>96</v>
      </c>
      <c r="D101" s="96" t="s">
        <v>96</v>
      </c>
      <c r="E101" s="67"/>
      <c r="F101" s="99"/>
      <c r="G101" s="97" t="s">
        <v>96</v>
      </c>
      <c r="H101" s="97" t="s">
        <v>96</v>
      </c>
      <c r="I101" s="237" t="str">
        <f t="shared" si="29"/>
        <v xml:space="preserve"> </v>
      </c>
      <c r="J101" s="100"/>
      <c r="K101" s="238" t="str">
        <f t="shared" si="30"/>
        <v xml:space="preserve"> </v>
      </c>
      <c r="L101" s="66"/>
      <c r="M101" s="476">
        <f t="shared" si="25"/>
        <v>0</v>
      </c>
      <c r="N101" s="293"/>
      <c r="O101" s="293"/>
      <c r="P101" s="293"/>
      <c r="Q101" s="293"/>
      <c r="R101" s="293"/>
      <c r="S101" s="480">
        <f t="shared" si="26"/>
        <v>0</v>
      </c>
      <c r="T101" s="286">
        <f t="shared" si="27"/>
        <v>0</v>
      </c>
      <c r="U101" s="239" t="str">
        <f t="shared" si="28"/>
        <v/>
      </c>
      <c r="V101" s="21"/>
      <c r="W101" s="19"/>
      <c r="AA101" s="244">
        <f t="shared" si="20"/>
        <v>0</v>
      </c>
      <c r="AB101" s="244">
        <f t="shared" si="21"/>
        <v>0</v>
      </c>
      <c r="AC101" s="244">
        <f t="shared" si="22"/>
        <v>0</v>
      </c>
      <c r="AD101" s="244">
        <f t="shared" si="23"/>
        <v>0</v>
      </c>
      <c r="AE101" s="244">
        <f t="shared" si="24"/>
        <v>0</v>
      </c>
    </row>
    <row r="102" spans="2:31" ht="24.95" customHeight="1" x14ac:dyDescent="0.2">
      <c r="B102" s="98"/>
      <c r="C102" s="96" t="s">
        <v>96</v>
      </c>
      <c r="D102" s="96" t="s">
        <v>96</v>
      </c>
      <c r="E102" s="67"/>
      <c r="F102" s="99"/>
      <c r="G102" s="97" t="s">
        <v>96</v>
      </c>
      <c r="H102" s="97" t="s">
        <v>96</v>
      </c>
      <c r="I102" s="237" t="str">
        <f t="shared" si="29"/>
        <v xml:space="preserve"> </v>
      </c>
      <c r="J102" s="100"/>
      <c r="K102" s="238" t="str">
        <f t="shared" si="30"/>
        <v xml:space="preserve"> </v>
      </c>
      <c r="L102" s="66"/>
      <c r="M102" s="476">
        <f t="shared" si="25"/>
        <v>0</v>
      </c>
      <c r="N102" s="293"/>
      <c r="O102" s="293"/>
      <c r="P102" s="293"/>
      <c r="Q102" s="293"/>
      <c r="R102" s="293"/>
      <c r="S102" s="480">
        <f t="shared" si="26"/>
        <v>0</v>
      </c>
      <c r="T102" s="286">
        <f t="shared" si="27"/>
        <v>0</v>
      </c>
      <c r="U102" s="239" t="str">
        <f t="shared" si="28"/>
        <v/>
      </c>
      <c r="V102" s="21"/>
      <c r="W102" s="19"/>
      <c r="AA102" s="244">
        <f t="shared" si="20"/>
        <v>0</v>
      </c>
      <c r="AB102" s="244">
        <f t="shared" si="21"/>
        <v>0</v>
      </c>
      <c r="AC102" s="244">
        <f t="shared" si="22"/>
        <v>0</v>
      </c>
      <c r="AD102" s="244">
        <f t="shared" si="23"/>
        <v>0</v>
      </c>
      <c r="AE102" s="244">
        <f t="shared" si="24"/>
        <v>0</v>
      </c>
    </row>
    <row r="103" spans="2:31" ht="24.95" customHeight="1" x14ac:dyDescent="0.2">
      <c r="B103" s="98"/>
      <c r="C103" s="96" t="s">
        <v>96</v>
      </c>
      <c r="D103" s="96" t="s">
        <v>96</v>
      </c>
      <c r="E103" s="67"/>
      <c r="F103" s="99"/>
      <c r="G103" s="97" t="s">
        <v>96</v>
      </c>
      <c r="H103" s="97" t="s">
        <v>96</v>
      </c>
      <c r="I103" s="237" t="str">
        <f t="shared" si="29"/>
        <v xml:space="preserve"> </v>
      </c>
      <c r="J103" s="100"/>
      <c r="K103" s="238" t="str">
        <f t="shared" si="30"/>
        <v xml:space="preserve"> </v>
      </c>
      <c r="L103" s="66"/>
      <c r="M103" s="476">
        <f t="shared" si="25"/>
        <v>0</v>
      </c>
      <c r="N103" s="293"/>
      <c r="O103" s="293"/>
      <c r="P103" s="293"/>
      <c r="Q103" s="293"/>
      <c r="R103" s="293"/>
      <c r="S103" s="480">
        <f t="shared" si="26"/>
        <v>0</v>
      </c>
      <c r="T103" s="286">
        <f t="shared" si="27"/>
        <v>0</v>
      </c>
      <c r="U103" s="239" t="str">
        <f t="shared" si="28"/>
        <v/>
      </c>
      <c r="V103" s="21"/>
      <c r="W103" s="19"/>
      <c r="AA103" s="244">
        <f t="shared" si="20"/>
        <v>0</v>
      </c>
      <c r="AB103" s="244">
        <f t="shared" si="21"/>
        <v>0</v>
      </c>
      <c r="AC103" s="244">
        <f t="shared" si="22"/>
        <v>0</v>
      </c>
      <c r="AD103" s="244">
        <f t="shared" si="23"/>
        <v>0</v>
      </c>
      <c r="AE103" s="244">
        <f t="shared" si="24"/>
        <v>0</v>
      </c>
    </row>
    <row r="104" spans="2:31" ht="24.95" customHeight="1" x14ac:dyDescent="0.2">
      <c r="B104" s="98"/>
      <c r="C104" s="96" t="s">
        <v>96</v>
      </c>
      <c r="D104" s="96" t="s">
        <v>96</v>
      </c>
      <c r="E104" s="67"/>
      <c r="F104" s="99"/>
      <c r="G104" s="97" t="s">
        <v>96</v>
      </c>
      <c r="H104" s="97" t="s">
        <v>96</v>
      </c>
      <c r="I104" s="237" t="str">
        <f t="shared" si="29"/>
        <v xml:space="preserve"> </v>
      </c>
      <c r="J104" s="100"/>
      <c r="K104" s="238" t="str">
        <f t="shared" si="30"/>
        <v xml:space="preserve"> </v>
      </c>
      <c r="L104" s="66"/>
      <c r="M104" s="476">
        <f t="shared" si="25"/>
        <v>0</v>
      </c>
      <c r="N104" s="293"/>
      <c r="O104" s="293"/>
      <c r="P104" s="293"/>
      <c r="Q104" s="293"/>
      <c r="R104" s="293"/>
      <c r="S104" s="480">
        <f t="shared" si="26"/>
        <v>0</v>
      </c>
      <c r="T104" s="286">
        <f t="shared" si="27"/>
        <v>0</v>
      </c>
      <c r="U104" s="239" t="str">
        <f t="shared" si="28"/>
        <v/>
      </c>
      <c r="V104" s="21"/>
      <c r="W104" s="19"/>
      <c r="AA104" s="244">
        <f t="shared" si="20"/>
        <v>0</v>
      </c>
      <c r="AB104" s="244">
        <f t="shared" si="21"/>
        <v>0</v>
      </c>
      <c r="AC104" s="244">
        <f t="shared" si="22"/>
        <v>0</v>
      </c>
      <c r="AD104" s="244">
        <f t="shared" si="23"/>
        <v>0</v>
      </c>
      <c r="AE104" s="244">
        <f t="shared" si="24"/>
        <v>0</v>
      </c>
    </row>
    <row r="105" spans="2:31" ht="24.95" customHeight="1" x14ac:dyDescent="0.2">
      <c r="B105" s="98"/>
      <c r="C105" s="96" t="s">
        <v>96</v>
      </c>
      <c r="D105" s="96" t="s">
        <v>96</v>
      </c>
      <c r="E105" s="67"/>
      <c r="F105" s="99"/>
      <c r="G105" s="97" t="s">
        <v>96</v>
      </c>
      <c r="H105" s="97" t="s">
        <v>96</v>
      </c>
      <c r="I105" s="237" t="str">
        <f t="shared" si="29"/>
        <v xml:space="preserve"> </v>
      </c>
      <c r="J105" s="100"/>
      <c r="K105" s="238" t="str">
        <f t="shared" si="30"/>
        <v xml:space="preserve"> </v>
      </c>
      <c r="L105" s="66"/>
      <c r="M105" s="476">
        <f t="shared" si="25"/>
        <v>0</v>
      </c>
      <c r="N105" s="293"/>
      <c r="O105" s="293"/>
      <c r="P105" s="293"/>
      <c r="Q105" s="293"/>
      <c r="R105" s="293"/>
      <c r="S105" s="480">
        <f t="shared" si="26"/>
        <v>0</v>
      </c>
      <c r="T105" s="286">
        <f t="shared" si="27"/>
        <v>0</v>
      </c>
      <c r="U105" s="239" t="str">
        <f t="shared" si="28"/>
        <v/>
      </c>
      <c r="V105" s="21"/>
      <c r="W105" s="19"/>
      <c r="AA105" s="244">
        <f t="shared" si="20"/>
        <v>0</v>
      </c>
      <c r="AB105" s="244">
        <f t="shared" si="21"/>
        <v>0</v>
      </c>
      <c r="AC105" s="244">
        <f t="shared" si="22"/>
        <v>0</v>
      </c>
      <c r="AD105" s="244">
        <f t="shared" si="23"/>
        <v>0</v>
      </c>
      <c r="AE105" s="244">
        <f t="shared" si="24"/>
        <v>0</v>
      </c>
    </row>
    <row r="106" spans="2:31" ht="24.95" customHeight="1" x14ac:dyDescent="0.2">
      <c r="B106" s="98"/>
      <c r="C106" s="96" t="s">
        <v>96</v>
      </c>
      <c r="D106" s="96" t="s">
        <v>96</v>
      </c>
      <c r="E106" s="67"/>
      <c r="F106" s="99"/>
      <c r="G106" s="97" t="s">
        <v>96</v>
      </c>
      <c r="H106" s="97" t="s">
        <v>96</v>
      </c>
      <c r="I106" s="237" t="str">
        <f t="shared" si="29"/>
        <v xml:space="preserve"> </v>
      </c>
      <c r="J106" s="100"/>
      <c r="K106" s="238" t="str">
        <f t="shared" si="30"/>
        <v xml:space="preserve"> </v>
      </c>
      <c r="L106" s="66"/>
      <c r="M106" s="476">
        <f t="shared" si="25"/>
        <v>0</v>
      </c>
      <c r="N106" s="293"/>
      <c r="O106" s="293"/>
      <c r="P106" s="293"/>
      <c r="Q106" s="293"/>
      <c r="R106" s="293"/>
      <c r="S106" s="480">
        <f t="shared" si="26"/>
        <v>0</v>
      </c>
      <c r="T106" s="286">
        <f t="shared" si="27"/>
        <v>0</v>
      </c>
      <c r="U106" s="239" t="str">
        <f t="shared" si="28"/>
        <v/>
      </c>
      <c r="V106" s="21"/>
      <c r="W106" s="19"/>
      <c r="AA106" s="244">
        <f t="shared" si="20"/>
        <v>0</v>
      </c>
      <c r="AB106" s="244">
        <f t="shared" si="21"/>
        <v>0</v>
      </c>
      <c r="AC106" s="244">
        <f t="shared" si="22"/>
        <v>0</v>
      </c>
      <c r="AD106" s="244">
        <f t="shared" si="23"/>
        <v>0</v>
      </c>
      <c r="AE106" s="244">
        <f t="shared" si="24"/>
        <v>0</v>
      </c>
    </row>
    <row r="107" spans="2:31" ht="24.95" customHeight="1" x14ac:dyDescent="0.2">
      <c r="B107" s="98"/>
      <c r="C107" s="96" t="s">
        <v>96</v>
      </c>
      <c r="D107" s="96" t="s">
        <v>96</v>
      </c>
      <c r="E107" s="67"/>
      <c r="F107" s="99"/>
      <c r="G107" s="97" t="s">
        <v>96</v>
      </c>
      <c r="H107" s="97" t="s">
        <v>96</v>
      </c>
      <c r="I107" s="237" t="str">
        <f t="shared" si="29"/>
        <v xml:space="preserve"> </v>
      </c>
      <c r="J107" s="100"/>
      <c r="K107" s="238" t="str">
        <f t="shared" si="30"/>
        <v xml:space="preserve"> </v>
      </c>
      <c r="L107" s="66"/>
      <c r="M107" s="476">
        <f t="shared" si="25"/>
        <v>0</v>
      </c>
      <c r="N107" s="293"/>
      <c r="O107" s="293"/>
      <c r="P107" s="293"/>
      <c r="Q107" s="293"/>
      <c r="R107" s="293"/>
      <c r="S107" s="480">
        <f t="shared" si="26"/>
        <v>0</v>
      </c>
      <c r="T107" s="286">
        <f t="shared" si="27"/>
        <v>0</v>
      </c>
      <c r="U107" s="239" t="str">
        <f t="shared" si="28"/>
        <v/>
      </c>
      <c r="V107" s="21"/>
      <c r="W107" s="19"/>
      <c r="AA107" s="244">
        <f t="shared" si="20"/>
        <v>0</v>
      </c>
      <c r="AB107" s="244">
        <f t="shared" si="21"/>
        <v>0</v>
      </c>
      <c r="AC107" s="244">
        <f t="shared" si="22"/>
        <v>0</v>
      </c>
      <c r="AD107" s="244">
        <f t="shared" si="23"/>
        <v>0</v>
      </c>
      <c r="AE107" s="244">
        <f t="shared" si="24"/>
        <v>0</v>
      </c>
    </row>
    <row r="108" spans="2:31" ht="24.95" customHeight="1" x14ac:dyDescent="0.2">
      <c r="B108" s="98"/>
      <c r="C108" s="96" t="s">
        <v>96</v>
      </c>
      <c r="D108" s="96" t="s">
        <v>96</v>
      </c>
      <c r="E108" s="67"/>
      <c r="F108" s="99"/>
      <c r="G108" s="97" t="s">
        <v>96</v>
      </c>
      <c r="H108" s="97" t="s">
        <v>96</v>
      </c>
      <c r="I108" s="237" t="str">
        <f t="shared" si="29"/>
        <v xml:space="preserve"> </v>
      </c>
      <c r="J108" s="100"/>
      <c r="K108" s="238" t="str">
        <f t="shared" si="30"/>
        <v xml:space="preserve"> </v>
      </c>
      <c r="L108" s="66"/>
      <c r="M108" s="476">
        <f t="shared" si="25"/>
        <v>0</v>
      </c>
      <c r="N108" s="293"/>
      <c r="O108" s="293"/>
      <c r="P108" s="293"/>
      <c r="Q108" s="293"/>
      <c r="R108" s="293"/>
      <c r="S108" s="480">
        <f t="shared" si="26"/>
        <v>0</v>
      </c>
      <c r="T108" s="286">
        <f t="shared" si="27"/>
        <v>0</v>
      </c>
      <c r="U108" s="239" t="str">
        <f t="shared" si="28"/>
        <v/>
      </c>
      <c r="V108" s="21"/>
      <c r="W108" s="19"/>
      <c r="AA108" s="244">
        <f t="shared" si="20"/>
        <v>0</v>
      </c>
      <c r="AB108" s="244">
        <f t="shared" si="21"/>
        <v>0</v>
      </c>
      <c r="AC108" s="244">
        <f t="shared" si="22"/>
        <v>0</v>
      </c>
      <c r="AD108" s="244">
        <f t="shared" si="23"/>
        <v>0</v>
      </c>
      <c r="AE108" s="244">
        <f t="shared" si="24"/>
        <v>0</v>
      </c>
    </row>
    <row r="109" spans="2:31" ht="24.95" customHeight="1" x14ac:dyDescent="0.2">
      <c r="B109" s="98"/>
      <c r="C109" s="96" t="s">
        <v>96</v>
      </c>
      <c r="D109" s="96" t="s">
        <v>96</v>
      </c>
      <c r="E109" s="67"/>
      <c r="F109" s="99"/>
      <c r="G109" s="97" t="s">
        <v>96</v>
      </c>
      <c r="H109" s="97" t="s">
        <v>96</v>
      </c>
      <c r="I109" s="237" t="str">
        <f t="shared" si="29"/>
        <v xml:space="preserve"> </v>
      </c>
      <c r="J109" s="100"/>
      <c r="K109" s="238" t="str">
        <f t="shared" si="30"/>
        <v xml:space="preserve"> </v>
      </c>
      <c r="L109" s="66"/>
      <c r="M109" s="476">
        <f t="shared" si="25"/>
        <v>0</v>
      </c>
      <c r="N109" s="293"/>
      <c r="O109" s="293"/>
      <c r="P109" s="293"/>
      <c r="Q109" s="293"/>
      <c r="R109" s="293"/>
      <c r="S109" s="480">
        <f t="shared" si="26"/>
        <v>0</v>
      </c>
      <c r="T109" s="286">
        <f t="shared" si="27"/>
        <v>0</v>
      </c>
      <c r="U109" s="239" t="str">
        <f t="shared" si="28"/>
        <v/>
      </c>
      <c r="V109" s="19"/>
      <c r="AA109" s="244">
        <f t="shared" si="20"/>
        <v>0</v>
      </c>
      <c r="AB109" s="244">
        <f t="shared" si="21"/>
        <v>0</v>
      </c>
      <c r="AC109" s="244">
        <f t="shared" si="22"/>
        <v>0</v>
      </c>
      <c r="AD109" s="244">
        <f t="shared" si="23"/>
        <v>0</v>
      </c>
      <c r="AE109" s="244">
        <f t="shared" si="24"/>
        <v>0</v>
      </c>
    </row>
    <row r="110" spans="2:31" ht="24.95" customHeight="1" x14ac:dyDescent="0.2">
      <c r="B110" s="98"/>
      <c r="C110" s="96" t="s">
        <v>96</v>
      </c>
      <c r="D110" s="96" t="s">
        <v>96</v>
      </c>
      <c r="E110" s="67"/>
      <c r="F110" s="99"/>
      <c r="G110" s="97" t="s">
        <v>96</v>
      </c>
      <c r="H110" s="97" t="s">
        <v>96</v>
      </c>
      <c r="I110" s="237" t="str">
        <f t="shared" si="29"/>
        <v xml:space="preserve"> </v>
      </c>
      <c r="J110" s="100"/>
      <c r="K110" s="238" t="str">
        <f t="shared" si="30"/>
        <v xml:space="preserve"> </v>
      </c>
      <c r="L110" s="66"/>
      <c r="M110" s="476">
        <f t="shared" si="25"/>
        <v>0</v>
      </c>
      <c r="N110" s="293"/>
      <c r="O110" s="293"/>
      <c r="P110" s="293"/>
      <c r="Q110" s="293"/>
      <c r="R110" s="293"/>
      <c r="S110" s="480">
        <f t="shared" si="26"/>
        <v>0</v>
      </c>
      <c r="T110" s="286">
        <f t="shared" si="27"/>
        <v>0</v>
      </c>
      <c r="U110" s="239" t="str">
        <f t="shared" si="28"/>
        <v/>
      </c>
      <c r="V110" s="19"/>
      <c r="AA110" s="244">
        <f t="shared" si="20"/>
        <v>0</v>
      </c>
      <c r="AB110" s="244">
        <f t="shared" si="21"/>
        <v>0</v>
      </c>
      <c r="AC110" s="244">
        <f t="shared" si="22"/>
        <v>0</v>
      </c>
      <c r="AD110" s="244">
        <f t="shared" si="23"/>
        <v>0</v>
      </c>
      <c r="AE110" s="244">
        <f t="shared" si="24"/>
        <v>0</v>
      </c>
    </row>
    <row r="111" spans="2:31" ht="24.95" customHeight="1" x14ac:dyDescent="0.2">
      <c r="B111" s="98"/>
      <c r="C111" s="96" t="s">
        <v>96</v>
      </c>
      <c r="D111" s="96" t="s">
        <v>96</v>
      </c>
      <c r="E111" s="67"/>
      <c r="F111" s="99"/>
      <c r="G111" s="97" t="s">
        <v>96</v>
      </c>
      <c r="H111" s="97" t="s">
        <v>96</v>
      </c>
      <c r="I111" s="237" t="str">
        <f t="shared" si="29"/>
        <v xml:space="preserve"> </v>
      </c>
      <c r="J111" s="100"/>
      <c r="K111" s="238" t="str">
        <f t="shared" si="30"/>
        <v xml:space="preserve"> </v>
      </c>
      <c r="L111" s="66"/>
      <c r="M111" s="476">
        <f t="shared" si="25"/>
        <v>0</v>
      </c>
      <c r="N111" s="293"/>
      <c r="O111" s="293"/>
      <c r="P111" s="293"/>
      <c r="Q111" s="293"/>
      <c r="R111" s="293"/>
      <c r="S111" s="480">
        <f t="shared" si="26"/>
        <v>0</v>
      </c>
      <c r="T111" s="286">
        <f t="shared" si="27"/>
        <v>0</v>
      </c>
      <c r="U111" s="239" t="str">
        <f t="shared" si="28"/>
        <v/>
      </c>
      <c r="V111" s="19"/>
      <c r="AA111" s="244">
        <f t="shared" si="20"/>
        <v>0</v>
      </c>
      <c r="AB111" s="244">
        <f t="shared" si="21"/>
        <v>0</v>
      </c>
      <c r="AC111" s="244">
        <f t="shared" si="22"/>
        <v>0</v>
      </c>
      <c r="AD111" s="244">
        <f t="shared" si="23"/>
        <v>0</v>
      </c>
      <c r="AE111" s="244">
        <f t="shared" si="24"/>
        <v>0</v>
      </c>
    </row>
    <row r="112" spans="2:31" ht="24.95" customHeight="1" x14ac:dyDescent="0.2">
      <c r="B112" s="98"/>
      <c r="C112" s="96" t="s">
        <v>96</v>
      </c>
      <c r="D112" s="96" t="s">
        <v>96</v>
      </c>
      <c r="E112" s="67"/>
      <c r="F112" s="99"/>
      <c r="G112" s="97" t="s">
        <v>96</v>
      </c>
      <c r="H112" s="97" t="s">
        <v>96</v>
      </c>
      <c r="I112" s="237" t="str">
        <f t="shared" si="29"/>
        <v xml:space="preserve"> </v>
      </c>
      <c r="J112" s="100"/>
      <c r="K112" s="238" t="str">
        <f t="shared" si="30"/>
        <v xml:space="preserve"> </v>
      </c>
      <c r="L112" s="66"/>
      <c r="M112" s="476">
        <f t="shared" si="25"/>
        <v>0</v>
      </c>
      <c r="N112" s="293"/>
      <c r="O112" s="293"/>
      <c r="P112" s="293"/>
      <c r="Q112" s="293"/>
      <c r="R112" s="293"/>
      <c r="S112" s="480">
        <f t="shared" si="26"/>
        <v>0</v>
      </c>
      <c r="T112" s="286">
        <f t="shared" si="27"/>
        <v>0</v>
      </c>
      <c r="U112" s="239" t="str">
        <f t="shared" si="28"/>
        <v/>
      </c>
      <c r="V112" s="19"/>
      <c r="AA112" s="244">
        <f t="shared" si="20"/>
        <v>0</v>
      </c>
      <c r="AB112" s="244">
        <f t="shared" si="21"/>
        <v>0</v>
      </c>
      <c r="AC112" s="244">
        <f t="shared" si="22"/>
        <v>0</v>
      </c>
      <c r="AD112" s="244">
        <f t="shared" si="23"/>
        <v>0</v>
      </c>
      <c r="AE112" s="244">
        <f t="shared" si="24"/>
        <v>0</v>
      </c>
    </row>
    <row r="113" spans="2:31" ht="24.95" customHeight="1" x14ac:dyDescent="0.2">
      <c r="B113" s="98"/>
      <c r="C113" s="96" t="s">
        <v>96</v>
      </c>
      <c r="D113" s="96" t="s">
        <v>96</v>
      </c>
      <c r="E113" s="67"/>
      <c r="F113" s="99"/>
      <c r="G113" s="97" t="s">
        <v>96</v>
      </c>
      <c r="H113" s="97" t="s">
        <v>96</v>
      </c>
      <c r="I113" s="237" t="str">
        <f t="shared" si="29"/>
        <v xml:space="preserve"> </v>
      </c>
      <c r="J113" s="100"/>
      <c r="K113" s="238" t="str">
        <f t="shared" si="30"/>
        <v xml:space="preserve"> </v>
      </c>
      <c r="L113" s="66"/>
      <c r="M113" s="476">
        <f t="shared" si="25"/>
        <v>0</v>
      </c>
      <c r="N113" s="293"/>
      <c r="O113" s="293"/>
      <c r="P113" s="293"/>
      <c r="Q113" s="293"/>
      <c r="R113" s="293"/>
      <c r="S113" s="480">
        <f t="shared" si="26"/>
        <v>0</v>
      </c>
      <c r="T113" s="286">
        <f t="shared" si="27"/>
        <v>0</v>
      </c>
      <c r="U113" s="239" t="str">
        <f t="shared" si="28"/>
        <v/>
      </c>
      <c r="V113" s="19"/>
      <c r="AA113" s="244">
        <f t="shared" si="20"/>
        <v>0</v>
      </c>
      <c r="AB113" s="244">
        <f t="shared" si="21"/>
        <v>0</v>
      </c>
      <c r="AC113" s="244">
        <f t="shared" si="22"/>
        <v>0</v>
      </c>
      <c r="AD113" s="244">
        <f t="shared" si="23"/>
        <v>0</v>
      </c>
      <c r="AE113" s="244">
        <f t="shared" si="24"/>
        <v>0</v>
      </c>
    </row>
    <row r="114" spans="2:31" ht="24.95" customHeight="1" x14ac:dyDescent="0.2">
      <c r="B114" s="98"/>
      <c r="C114" s="96" t="s">
        <v>96</v>
      </c>
      <c r="D114" s="96" t="s">
        <v>96</v>
      </c>
      <c r="E114" s="67"/>
      <c r="F114" s="99"/>
      <c r="G114" s="97" t="s">
        <v>96</v>
      </c>
      <c r="H114" s="97" t="s">
        <v>96</v>
      </c>
      <c r="I114" s="237" t="str">
        <f t="shared" si="29"/>
        <v xml:space="preserve"> </v>
      </c>
      <c r="J114" s="100"/>
      <c r="K114" s="238" t="str">
        <f t="shared" si="30"/>
        <v xml:space="preserve"> </v>
      </c>
      <c r="L114" s="66"/>
      <c r="M114" s="476">
        <f t="shared" si="25"/>
        <v>0</v>
      </c>
      <c r="N114" s="293"/>
      <c r="O114" s="293"/>
      <c r="P114" s="293"/>
      <c r="Q114" s="293"/>
      <c r="R114" s="293"/>
      <c r="S114" s="480">
        <f t="shared" si="26"/>
        <v>0</v>
      </c>
      <c r="T114" s="286">
        <f t="shared" si="27"/>
        <v>0</v>
      </c>
      <c r="U114" s="239" t="str">
        <f t="shared" si="28"/>
        <v/>
      </c>
      <c r="V114" s="19"/>
      <c r="AA114" s="244">
        <f t="shared" si="20"/>
        <v>0</v>
      </c>
      <c r="AB114" s="244">
        <f t="shared" si="21"/>
        <v>0</v>
      </c>
      <c r="AC114" s="244">
        <f t="shared" si="22"/>
        <v>0</v>
      </c>
      <c r="AD114" s="244">
        <f t="shared" si="23"/>
        <v>0</v>
      </c>
      <c r="AE114" s="244">
        <f t="shared" si="24"/>
        <v>0</v>
      </c>
    </row>
    <row r="115" spans="2:31" ht="24.95" customHeight="1" x14ac:dyDescent="0.2">
      <c r="B115" s="98"/>
      <c r="C115" s="96" t="s">
        <v>96</v>
      </c>
      <c r="D115" s="96" t="s">
        <v>96</v>
      </c>
      <c r="E115" s="67"/>
      <c r="F115" s="99"/>
      <c r="G115" s="97" t="s">
        <v>96</v>
      </c>
      <c r="H115" s="97" t="s">
        <v>96</v>
      </c>
      <c r="I115" s="237" t="str">
        <f t="shared" si="29"/>
        <v xml:space="preserve"> </v>
      </c>
      <c r="J115" s="100"/>
      <c r="K115" s="238" t="str">
        <f t="shared" si="30"/>
        <v xml:space="preserve"> </v>
      </c>
      <c r="L115" s="66"/>
      <c r="M115" s="476">
        <f t="shared" si="25"/>
        <v>0</v>
      </c>
      <c r="N115" s="293"/>
      <c r="O115" s="293"/>
      <c r="P115" s="293"/>
      <c r="Q115" s="293"/>
      <c r="R115" s="293"/>
      <c r="S115" s="480">
        <f t="shared" si="26"/>
        <v>0</v>
      </c>
      <c r="T115" s="286">
        <f t="shared" si="27"/>
        <v>0</v>
      </c>
      <c r="U115" s="239" t="str">
        <f t="shared" si="28"/>
        <v/>
      </c>
      <c r="V115" s="19"/>
      <c r="AA115" s="244">
        <f t="shared" si="20"/>
        <v>0</v>
      </c>
      <c r="AB115" s="244">
        <f t="shared" si="21"/>
        <v>0</v>
      </c>
      <c r="AC115" s="244">
        <f t="shared" si="22"/>
        <v>0</v>
      </c>
      <c r="AD115" s="244">
        <f t="shared" si="23"/>
        <v>0</v>
      </c>
      <c r="AE115" s="244">
        <f t="shared" si="24"/>
        <v>0</v>
      </c>
    </row>
    <row r="116" spans="2:31" ht="24.95" customHeight="1" x14ac:dyDescent="0.2">
      <c r="B116" s="98"/>
      <c r="C116" s="96" t="s">
        <v>96</v>
      </c>
      <c r="D116" s="96" t="s">
        <v>96</v>
      </c>
      <c r="E116" s="67"/>
      <c r="F116" s="99"/>
      <c r="G116" s="97" t="s">
        <v>96</v>
      </c>
      <c r="H116" s="97" t="s">
        <v>96</v>
      </c>
      <c r="I116" s="237" t="str">
        <f t="shared" si="29"/>
        <v xml:space="preserve"> </v>
      </c>
      <c r="J116" s="100"/>
      <c r="K116" s="238" t="str">
        <f t="shared" si="30"/>
        <v xml:space="preserve"> </v>
      </c>
      <c r="L116" s="66"/>
      <c r="M116" s="476">
        <f t="shared" si="25"/>
        <v>0</v>
      </c>
      <c r="N116" s="293"/>
      <c r="O116" s="293"/>
      <c r="P116" s="293"/>
      <c r="Q116" s="293"/>
      <c r="R116" s="293"/>
      <c r="S116" s="480">
        <f t="shared" si="26"/>
        <v>0</v>
      </c>
      <c r="T116" s="286">
        <f t="shared" si="27"/>
        <v>0</v>
      </c>
      <c r="U116" s="239" t="str">
        <f t="shared" si="28"/>
        <v/>
      </c>
      <c r="V116" s="19"/>
      <c r="AA116" s="244">
        <f t="shared" si="20"/>
        <v>0</v>
      </c>
      <c r="AB116" s="244">
        <f t="shared" si="21"/>
        <v>0</v>
      </c>
      <c r="AC116" s="244">
        <f t="shared" si="22"/>
        <v>0</v>
      </c>
      <c r="AD116" s="244">
        <f t="shared" si="23"/>
        <v>0</v>
      </c>
      <c r="AE116" s="244">
        <f t="shared" si="24"/>
        <v>0</v>
      </c>
    </row>
    <row r="117" spans="2:31" ht="24.95" customHeight="1" x14ac:dyDescent="0.2">
      <c r="B117" s="98"/>
      <c r="C117" s="96" t="s">
        <v>96</v>
      </c>
      <c r="D117" s="96" t="s">
        <v>96</v>
      </c>
      <c r="E117" s="67"/>
      <c r="F117" s="99"/>
      <c r="G117" s="97" t="s">
        <v>96</v>
      </c>
      <c r="H117" s="97" t="s">
        <v>96</v>
      </c>
      <c r="I117" s="237" t="str">
        <f t="shared" si="29"/>
        <v xml:space="preserve"> </v>
      </c>
      <c r="J117" s="100"/>
      <c r="K117" s="238" t="str">
        <f t="shared" si="30"/>
        <v xml:space="preserve"> </v>
      </c>
      <c r="L117" s="66"/>
      <c r="M117" s="476">
        <f t="shared" si="25"/>
        <v>0</v>
      </c>
      <c r="N117" s="293"/>
      <c r="O117" s="293"/>
      <c r="P117" s="293"/>
      <c r="Q117" s="293"/>
      <c r="R117" s="293"/>
      <c r="S117" s="480">
        <f t="shared" si="26"/>
        <v>0</v>
      </c>
      <c r="T117" s="286">
        <f t="shared" si="27"/>
        <v>0</v>
      </c>
      <c r="U117" s="239" t="str">
        <f t="shared" si="28"/>
        <v/>
      </c>
      <c r="V117" s="19"/>
      <c r="AA117" s="244">
        <f t="shared" si="20"/>
        <v>0</v>
      </c>
      <c r="AB117" s="244">
        <f t="shared" si="21"/>
        <v>0</v>
      </c>
      <c r="AC117" s="244">
        <f t="shared" si="22"/>
        <v>0</v>
      </c>
      <c r="AD117" s="244">
        <f t="shared" si="23"/>
        <v>0</v>
      </c>
      <c r="AE117" s="244">
        <f t="shared" si="24"/>
        <v>0</v>
      </c>
    </row>
    <row r="118" spans="2:31" ht="24.95" customHeight="1" x14ac:dyDescent="0.2">
      <c r="B118" s="98"/>
      <c r="C118" s="96" t="s">
        <v>96</v>
      </c>
      <c r="D118" s="96" t="s">
        <v>96</v>
      </c>
      <c r="E118" s="67"/>
      <c r="F118" s="99"/>
      <c r="G118" s="97" t="s">
        <v>96</v>
      </c>
      <c r="H118" s="97" t="s">
        <v>96</v>
      </c>
      <c r="I118" s="237" t="str">
        <f t="shared" si="29"/>
        <v xml:space="preserve"> </v>
      </c>
      <c r="J118" s="100"/>
      <c r="K118" s="238" t="str">
        <f t="shared" si="30"/>
        <v xml:space="preserve"> </v>
      </c>
      <c r="L118" s="66"/>
      <c r="M118" s="476">
        <f t="shared" si="25"/>
        <v>0</v>
      </c>
      <c r="N118" s="293"/>
      <c r="O118" s="293"/>
      <c r="P118" s="293"/>
      <c r="Q118" s="293"/>
      <c r="R118" s="293"/>
      <c r="S118" s="480">
        <f t="shared" si="26"/>
        <v>0</v>
      </c>
      <c r="T118" s="286">
        <f t="shared" si="27"/>
        <v>0</v>
      </c>
      <c r="U118" s="239" t="str">
        <f t="shared" si="28"/>
        <v/>
      </c>
      <c r="V118" s="19"/>
      <c r="AA118" s="244">
        <f t="shared" si="20"/>
        <v>0</v>
      </c>
      <c r="AB118" s="244">
        <f t="shared" si="21"/>
        <v>0</v>
      </c>
      <c r="AC118" s="244">
        <f t="shared" si="22"/>
        <v>0</v>
      </c>
      <c r="AD118" s="244">
        <f t="shared" si="23"/>
        <v>0</v>
      </c>
      <c r="AE118" s="244">
        <f t="shared" si="24"/>
        <v>0</v>
      </c>
    </row>
    <row r="119" spans="2:31" ht="24.95" customHeight="1" x14ac:dyDescent="0.2">
      <c r="B119" s="98"/>
      <c r="C119" s="96" t="s">
        <v>96</v>
      </c>
      <c r="D119" s="96" t="s">
        <v>96</v>
      </c>
      <c r="E119" s="67"/>
      <c r="F119" s="99"/>
      <c r="G119" s="97" t="s">
        <v>96</v>
      </c>
      <c r="H119" s="97" t="s">
        <v>96</v>
      </c>
      <c r="I119" s="237" t="str">
        <f t="shared" si="29"/>
        <v xml:space="preserve"> </v>
      </c>
      <c r="J119" s="100"/>
      <c r="K119" s="238" t="str">
        <f t="shared" si="30"/>
        <v xml:space="preserve"> </v>
      </c>
      <c r="L119" s="66"/>
      <c r="M119" s="476">
        <f t="shared" si="25"/>
        <v>0</v>
      </c>
      <c r="N119" s="293"/>
      <c r="O119" s="293"/>
      <c r="P119" s="293"/>
      <c r="Q119" s="293"/>
      <c r="R119" s="293"/>
      <c r="S119" s="480">
        <f t="shared" si="26"/>
        <v>0</v>
      </c>
      <c r="T119" s="286">
        <f t="shared" si="27"/>
        <v>0</v>
      </c>
      <c r="U119" s="239" t="str">
        <f t="shared" si="28"/>
        <v/>
      </c>
      <c r="V119" s="19"/>
      <c r="AA119" s="244">
        <f t="shared" si="20"/>
        <v>0</v>
      </c>
      <c r="AB119" s="244">
        <f t="shared" si="21"/>
        <v>0</v>
      </c>
      <c r="AC119" s="244">
        <f t="shared" si="22"/>
        <v>0</v>
      </c>
      <c r="AD119" s="244">
        <f t="shared" si="23"/>
        <v>0</v>
      </c>
      <c r="AE119" s="244">
        <f t="shared" si="24"/>
        <v>0</v>
      </c>
    </row>
    <row r="120" spans="2:31" ht="24.95" customHeight="1" x14ac:dyDescent="0.2">
      <c r="B120" s="98"/>
      <c r="C120" s="96" t="s">
        <v>96</v>
      </c>
      <c r="D120" s="96" t="s">
        <v>96</v>
      </c>
      <c r="E120" s="67"/>
      <c r="F120" s="99"/>
      <c r="G120" s="97" t="s">
        <v>96</v>
      </c>
      <c r="H120" s="97" t="s">
        <v>96</v>
      </c>
      <c r="I120" s="237" t="str">
        <f t="shared" si="29"/>
        <v xml:space="preserve"> </v>
      </c>
      <c r="J120" s="100"/>
      <c r="K120" s="238" t="str">
        <f t="shared" si="30"/>
        <v xml:space="preserve"> </v>
      </c>
      <c r="L120" s="66"/>
      <c r="M120" s="476">
        <f t="shared" si="25"/>
        <v>0</v>
      </c>
      <c r="N120" s="293"/>
      <c r="O120" s="293"/>
      <c r="P120" s="293"/>
      <c r="Q120" s="293"/>
      <c r="R120" s="293"/>
      <c r="S120" s="480">
        <f t="shared" si="26"/>
        <v>0</v>
      </c>
      <c r="T120" s="286">
        <f t="shared" si="27"/>
        <v>0</v>
      </c>
      <c r="U120" s="239" t="str">
        <f t="shared" si="28"/>
        <v/>
      </c>
      <c r="V120" s="19"/>
      <c r="AA120" s="244">
        <f t="shared" si="20"/>
        <v>0</v>
      </c>
      <c r="AB120" s="244">
        <f t="shared" si="21"/>
        <v>0</v>
      </c>
      <c r="AC120" s="244">
        <f t="shared" si="22"/>
        <v>0</v>
      </c>
      <c r="AD120" s="244">
        <f t="shared" si="23"/>
        <v>0</v>
      </c>
      <c r="AE120" s="244">
        <f t="shared" si="24"/>
        <v>0</v>
      </c>
    </row>
    <row r="121" spans="2:31" ht="24.95" customHeight="1" x14ac:dyDescent="0.2">
      <c r="B121" s="98"/>
      <c r="C121" s="96" t="s">
        <v>96</v>
      </c>
      <c r="D121" s="96" t="s">
        <v>96</v>
      </c>
      <c r="E121" s="67"/>
      <c r="F121" s="99"/>
      <c r="G121" s="97" t="s">
        <v>96</v>
      </c>
      <c r="H121" s="97" t="s">
        <v>96</v>
      </c>
      <c r="I121" s="237" t="str">
        <f t="shared" si="29"/>
        <v xml:space="preserve"> </v>
      </c>
      <c r="J121" s="100"/>
      <c r="K121" s="238" t="str">
        <f t="shared" si="30"/>
        <v xml:space="preserve"> </v>
      </c>
      <c r="L121" s="66"/>
      <c r="M121" s="476">
        <f t="shared" si="25"/>
        <v>0</v>
      </c>
      <c r="N121" s="293"/>
      <c r="O121" s="293"/>
      <c r="P121" s="293"/>
      <c r="Q121" s="293"/>
      <c r="R121" s="293"/>
      <c r="S121" s="480">
        <f t="shared" si="26"/>
        <v>0</v>
      </c>
      <c r="T121" s="286">
        <f t="shared" si="27"/>
        <v>0</v>
      </c>
      <c r="U121" s="239" t="str">
        <f t="shared" si="28"/>
        <v/>
      </c>
      <c r="V121" s="19"/>
      <c r="AA121" s="244">
        <f t="shared" si="20"/>
        <v>0</v>
      </c>
      <c r="AB121" s="244">
        <f t="shared" si="21"/>
        <v>0</v>
      </c>
      <c r="AC121" s="244">
        <f t="shared" si="22"/>
        <v>0</v>
      </c>
      <c r="AD121" s="244">
        <f t="shared" si="23"/>
        <v>0</v>
      </c>
      <c r="AE121" s="244">
        <f t="shared" si="24"/>
        <v>0</v>
      </c>
    </row>
    <row r="122" spans="2:31" ht="24.95" customHeight="1" x14ac:dyDescent="0.2">
      <c r="B122" s="98"/>
      <c r="C122" s="96" t="s">
        <v>96</v>
      </c>
      <c r="D122" s="96" t="s">
        <v>96</v>
      </c>
      <c r="E122" s="67"/>
      <c r="F122" s="99"/>
      <c r="G122" s="97" t="s">
        <v>96</v>
      </c>
      <c r="H122" s="97" t="s">
        <v>96</v>
      </c>
      <c r="I122" s="237" t="str">
        <f t="shared" si="29"/>
        <v xml:space="preserve"> </v>
      </c>
      <c r="J122" s="100"/>
      <c r="K122" s="238" t="str">
        <f t="shared" si="30"/>
        <v xml:space="preserve"> </v>
      </c>
      <c r="L122" s="66"/>
      <c r="M122" s="476">
        <f t="shared" si="25"/>
        <v>0</v>
      </c>
      <c r="N122" s="293"/>
      <c r="O122" s="293"/>
      <c r="P122" s="293"/>
      <c r="Q122" s="293"/>
      <c r="R122" s="293"/>
      <c r="S122" s="480">
        <f t="shared" si="26"/>
        <v>0</v>
      </c>
      <c r="T122" s="286">
        <f t="shared" si="27"/>
        <v>0</v>
      </c>
      <c r="U122" s="239" t="str">
        <f t="shared" si="28"/>
        <v/>
      </c>
      <c r="V122" s="19"/>
      <c r="AA122" s="244">
        <f t="shared" si="20"/>
        <v>0</v>
      </c>
      <c r="AB122" s="244">
        <f t="shared" si="21"/>
        <v>0</v>
      </c>
      <c r="AC122" s="244">
        <f t="shared" si="22"/>
        <v>0</v>
      </c>
      <c r="AD122" s="244">
        <f t="shared" si="23"/>
        <v>0</v>
      </c>
      <c r="AE122" s="244">
        <f t="shared" si="24"/>
        <v>0</v>
      </c>
    </row>
    <row r="123" spans="2:31" ht="24.95" customHeight="1" x14ac:dyDescent="0.2">
      <c r="B123" s="98"/>
      <c r="C123" s="96" t="s">
        <v>96</v>
      </c>
      <c r="D123" s="96" t="s">
        <v>96</v>
      </c>
      <c r="E123" s="67"/>
      <c r="F123" s="99"/>
      <c r="G123" s="97" t="s">
        <v>96</v>
      </c>
      <c r="H123" s="97" t="s">
        <v>96</v>
      </c>
      <c r="I123" s="237" t="str">
        <f t="shared" si="29"/>
        <v xml:space="preserve"> </v>
      </c>
      <c r="J123" s="100"/>
      <c r="K123" s="238" t="str">
        <f t="shared" si="30"/>
        <v xml:space="preserve"> </v>
      </c>
      <c r="L123" s="66"/>
      <c r="M123" s="476">
        <f t="shared" si="25"/>
        <v>0</v>
      </c>
      <c r="N123" s="293"/>
      <c r="O123" s="293"/>
      <c r="P123" s="293"/>
      <c r="Q123" s="293"/>
      <c r="R123" s="293"/>
      <c r="S123" s="480">
        <f t="shared" si="26"/>
        <v>0</v>
      </c>
      <c r="T123" s="286">
        <f t="shared" si="27"/>
        <v>0</v>
      </c>
      <c r="U123" s="239" t="str">
        <f t="shared" si="28"/>
        <v/>
      </c>
      <c r="V123" s="19"/>
      <c r="AA123" s="244">
        <f t="shared" si="20"/>
        <v>0</v>
      </c>
      <c r="AB123" s="244">
        <f t="shared" si="21"/>
        <v>0</v>
      </c>
      <c r="AC123" s="244">
        <f t="shared" si="22"/>
        <v>0</v>
      </c>
      <c r="AD123" s="244">
        <f t="shared" si="23"/>
        <v>0</v>
      </c>
      <c r="AE123" s="244">
        <f t="shared" si="24"/>
        <v>0</v>
      </c>
    </row>
    <row r="124" spans="2:31" ht="24.95" customHeight="1" x14ac:dyDescent="0.2">
      <c r="B124" s="98"/>
      <c r="C124" s="96" t="s">
        <v>96</v>
      </c>
      <c r="D124" s="96" t="s">
        <v>96</v>
      </c>
      <c r="E124" s="67"/>
      <c r="F124" s="99"/>
      <c r="G124" s="97" t="s">
        <v>96</v>
      </c>
      <c r="H124" s="97" t="s">
        <v>96</v>
      </c>
      <c r="I124" s="237" t="str">
        <f t="shared" si="29"/>
        <v xml:space="preserve"> </v>
      </c>
      <c r="J124" s="100"/>
      <c r="K124" s="238" t="str">
        <f t="shared" si="30"/>
        <v xml:space="preserve"> </v>
      </c>
      <c r="L124" s="66"/>
      <c r="M124" s="476">
        <f t="shared" si="25"/>
        <v>0</v>
      </c>
      <c r="N124" s="293"/>
      <c r="O124" s="293"/>
      <c r="P124" s="293"/>
      <c r="Q124" s="293"/>
      <c r="R124" s="293"/>
      <c r="S124" s="480">
        <f t="shared" si="26"/>
        <v>0</v>
      </c>
      <c r="T124" s="286">
        <f t="shared" si="27"/>
        <v>0</v>
      </c>
      <c r="U124" s="239" t="str">
        <f t="shared" si="28"/>
        <v/>
      </c>
      <c r="V124" s="19"/>
      <c r="AA124" s="244">
        <f t="shared" si="20"/>
        <v>0</v>
      </c>
      <c r="AB124" s="244">
        <f t="shared" si="21"/>
        <v>0</v>
      </c>
      <c r="AC124" s="244">
        <f t="shared" si="22"/>
        <v>0</v>
      </c>
      <c r="AD124" s="244">
        <f t="shared" si="23"/>
        <v>0</v>
      </c>
      <c r="AE124" s="244">
        <f t="shared" si="24"/>
        <v>0</v>
      </c>
    </row>
    <row r="125" spans="2:31" ht="24.95" customHeight="1" x14ac:dyDescent="0.2">
      <c r="B125" s="98"/>
      <c r="C125" s="96" t="s">
        <v>96</v>
      </c>
      <c r="D125" s="96" t="s">
        <v>96</v>
      </c>
      <c r="E125" s="67"/>
      <c r="F125" s="99"/>
      <c r="G125" s="97" t="s">
        <v>96</v>
      </c>
      <c r="H125" s="97" t="s">
        <v>96</v>
      </c>
      <c r="I125" s="237" t="str">
        <f t="shared" si="29"/>
        <v xml:space="preserve"> </v>
      </c>
      <c r="J125" s="100"/>
      <c r="K125" s="238" t="str">
        <f t="shared" si="30"/>
        <v xml:space="preserve"> </v>
      </c>
      <c r="L125" s="66"/>
      <c r="M125" s="476">
        <f t="shared" si="25"/>
        <v>0</v>
      </c>
      <c r="N125" s="293"/>
      <c r="O125" s="293"/>
      <c r="P125" s="293"/>
      <c r="Q125" s="293"/>
      <c r="R125" s="293"/>
      <c r="S125" s="480">
        <f t="shared" si="26"/>
        <v>0</v>
      </c>
      <c r="T125" s="286">
        <f t="shared" si="27"/>
        <v>0</v>
      </c>
      <c r="U125" s="239" t="str">
        <f t="shared" si="28"/>
        <v/>
      </c>
      <c r="V125" s="19"/>
      <c r="AA125" s="244">
        <f t="shared" si="20"/>
        <v>0</v>
      </c>
      <c r="AB125" s="244">
        <f t="shared" si="21"/>
        <v>0</v>
      </c>
      <c r="AC125" s="244">
        <f t="shared" si="22"/>
        <v>0</v>
      </c>
      <c r="AD125" s="244">
        <f t="shared" si="23"/>
        <v>0</v>
      </c>
      <c r="AE125" s="244">
        <f t="shared" si="24"/>
        <v>0</v>
      </c>
    </row>
    <row r="126" spans="2:31" ht="24.95" customHeight="1" x14ac:dyDescent="0.2">
      <c r="B126" s="98"/>
      <c r="C126" s="96" t="s">
        <v>96</v>
      </c>
      <c r="D126" s="96" t="s">
        <v>96</v>
      </c>
      <c r="E126" s="67"/>
      <c r="F126" s="99"/>
      <c r="G126" s="97" t="s">
        <v>96</v>
      </c>
      <c r="H126" s="97" t="s">
        <v>96</v>
      </c>
      <c r="I126" s="237" t="str">
        <f t="shared" si="29"/>
        <v xml:space="preserve"> </v>
      </c>
      <c r="J126" s="100"/>
      <c r="K126" s="238" t="str">
        <f t="shared" si="30"/>
        <v xml:space="preserve"> </v>
      </c>
      <c r="L126" s="66"/>
      <c r="M126" s="476">
        <f t="shared" si="25"/>
        <v>0</v>
      </c>
      <c r="N126" s="293"/>
      <c r="O126" s="293"/>
      <c r="P126" s="293"/>
      <c r="Q126" s="293"/>
      <c r="R126" s="293"/>
      <c r="S126" s="480">
        <f t="shared" si="26"/>
        <v>0</v>
      </c>
      <c r="T126" s="286">
        <f t="shared" si="27"/>
        <v>0</v>
      </c>
      <c r="U126" s="239" t="str">
        <f t="shared" si="28"/>
        <v/>
      </c>
      <c r="V126" s="19"/>
      <c r="AA126" s="244">
        <f t="shared" si="20"/>
        <v>0</v>
      </c>
      <c r="AB126" s="244">
        <f t="shared" si="21"/>
        <v>0</v>
      </c>
      <c r="AC126" s="244">
        <f t="shared" si="22"/>
        <v>0</v>
      </c>
      <c r="AD126" s="244">
        <f t="shared" si="23"/>
        <v>0</v>
      </c>
      <c r="AE126" s="244">
        <f t="shared" si="24"/>
        <v>0</v>
      </c>
    </row>
    <row r="127" spans="2:31" ht="24.95" customHeight="1" x14ac:dyDescent="0.2">
      <c r="B127" s="98"/>
      <c r="C127" s="96" t="s">
        <v>96</v>
      </c>
      <c r="D127" s="96" t="s">
        <v>96</v>
      </c>
      <c r="E127" s="67"/>
      <c r="F127" s="99"/>
      <c r="G127" s="97" t="s">
        <v>96</v>
      </c>
      <c r="H127" s="97" t="s">
        <v>96</v>
      </c>
      <c r="I127" s="237" t="str">
        <f t="shared" si="29"/>
        <v xml:space="preserve"> </v>
      </c>
      <c r="J127" s="100"/>
      <c r="K127" s="238" t="str">
        <f t="shared" si="30"/>
        <v xml:space="preserve"> </v>
      </c>
      <c r="L127" s="66"/>
      <c r="M127" s="476">
        <f t="shared" si="25"/>
        <v>0</v>
      </c>
      <c r="N127" s="293"/>
      <c r="O127" s="293"/>
      <c r="P127" s="293"/>
      <c r="Q127" s="293"/>
      <c r="R127" s="293"/>
      <c r="S127" s="480">
        <f t="shared" si="26"/>
        <v>0</v>
      </c>
      <c r="T127" s="286">
        <f t="shared" si="27"/>
        <v>0</v>
      </c>
      <c r="U127" s="239" t="str">
        <f t="shared" si="28"/>
        <v/>
      </c>
      <c r="V127" s="19"/>
      <c r="AA127" s="244">
        <f t="shared" si="20"/>
        <v>0</v>
      </c>
      <c r="AB127" s="244">
        <f t="shared" si="21"/>
        <v>0</v>
      </c>
      <c r="AC127" s="244">
        <f t="shared" si="22"/>
        <v>0</v>
      </c>
      <c r="AD127" s="244">
        <f t="shared" si="23"/>
        <v>0</v>
      </c>
      <c r="AE127" s="244">
        <f t="shared" si="24"/>
        <v>0</v>
      </c>
    </row>
    <row r="128" spans="2:31" ht="24.95" customHeight="1" x14ac:dyDescent="0.2">
      <c r="B128" s="98"/>
      <c r="C128" s="96" t="s">
        <v>96</v>
      </c>
      <c r="D128" s="96" t="s">
        <v>96</v>
      </c>
      <c r="E128" s="67"/>
      <c r="F128" s="99"/>
      <c r="G128" s="97" t="s">
        <v>96</v>
      </c>
      <c r="H128" s="97" t="s">
        <v>96</v>
      </c>
      <c r="I128" s="237" t="str">
        <f t="shared" si="29"/>
        <v xml:space="preserve"> </v>
      </c>
      <c r="J128" s="100"/>
      <c r="K128" s="238" t="str">
        <f t="shared" si="30"/>
        <v xml:space="preserve"> </v>
      </c>
      <c r="L128" s="66"/>
      <c r="M128" s="476">
        <f t="shared" si="25"/>
        <v>0</v>
      </c>
      <c r="N128" s="293"/>
      <c r="O128" s="293"/>
      <c r="P128" s="293"/>
      <c r="Q128" s="293"/>
      <c r="R128" s="293"/>
      <c r="S128" s="480">
        <f t="shared" si="26"/>
        <v>0</v>
      </c>
      <c r="T128" s="286">
        <f t="shared" si="27"/>
        <v>0</v>
      </c>
      <c r="U128" s="239" t="str">
        <f t="shared" si="28"/>
        <v/>
      </c>
      <c r="V128" s="19"/>
      <c r="AA128" s="244">
        <f t="shared" si="20"/>
        <v>0</v>
      </c>
      <c r="AB128" s="244">
        <f t="shared" si="21"/>
        <v>0</v>
      </c>
      <c r="AC128" s="244">
        <f t="shared" si="22"/>
        <v>0</v>
      </c>
      <c r="AD128" s="244">
        <f t="shared" si="23"/>
        <v>0</v>
      </c>
      <c r="AE128" s="244">
        <f t="shared" si="24"/>
        <v>0</v>
      </c>
    </row>
    <row r="129" spans="1:31" ht="24.95" customHeight="1" x14ac:dyDescent="0.2">
      <c r="B129" s="98"/>
      <c r="C129" s="96" t="s">
        <v>96</v>
      </c>
      <c r="D129" s="96" t="s">
        <v>96</v>
      </c>
      <c r="E129" s="67"/>
      <c r="F129" s="99"/>
      <c r="G129" s="97" t="s">
        <v>96</v>
      </c>
      <c r="H129" s="97" t="s">
        <v>96</v>
      </c>
      <c r="I129" s="237" t="str">
        <f t="shared" si="29"/>
        <v xml:space="preserve"> </v>
      </c>
      <c r="J129" s="100"/>
      <c r="K129" s="238" t="str">
        <f t="shared" si="30"/>
        <v xml:space="preserve"> </v>
      </c>
      <c r="L129" s="66"/>
      <c r="M129" s="476">
        <f t="shared" si="25"/>
        <v>0</v>
      </c>
      <c r="N129" s="293"/>
      <c r="O129" s="293"/>
      <c r="P129" s="293"/>
      <c r="Q129" s="293"/>
      <c r="R129" s="293"/>
      <c r="S129" s="480">
        <f t="shared" si="26"/>
        <v>0</v>
      </c>
      <c r="T129" s="286">
        <f t="shared" si="27"/>
        <v>0</v>
      </c>
      <c r="U129" s="239" t="str">
        <f t="shared" si="28"/>
        <v/>
      </c>
      <c r="V129" s="19"/>
      <c r="AA129" s="244">
        <f t="shared" si="20"/>
        <v>0</v>
      </c>
      <c r="AB129" s="244">
        <f t="shared" si="21"/>
        <v>0</v>
      </c>
      <c r="AC129" s="244">
        <f t="shared" si="22"/>
        <v>0</v>
      </c>
      <c r="AD129" s="244">
        <f t="shared" si="23"/>
        <v>0</v>
      </c>
      <c r="AE129" s="244">
        <f t="shared" si="24"/>
        <v>0</v>
      </c>
    </row>
    <row r="130" spans="1:31" ht="24.95" customHeight="1" x14ac:dyDescent="0.2">
      <c r="B130" s="98"/>
      <c r="C130" s="96" t="s">
        <v>96</v>
      </c>
      <c r="D130" s="96" t="s">
        <v>96</v>
      </c>
      <c r="E130" s="67"/>
      <c r="F130" s="99"/>
      <c r="G130" s="97" t="s">
        <v>96</v>
      </c>
      <c r="H130" s="97" t="s">
        <v>96</v>
      </c>
      <c r="I130" s="237" t="str">
        <f t="shared" si="29"/>
        <v xml:space="preserve"> </v>
      </c>
      <c r="J130" s="100"/>
      <c r="K130" s="238" t="str">
        <f t="shared" si="30"/>
        <v xml:space="preserve"> </v>
      </c>
      <c r="L130" s="66"/>
      <c r="M130" s="476">
        <f t="shared" si="25"/>
        <v>0</v>
      </c>
      <c r="N130" s="293"/>
      <c r="O130" s="293"/>
      <c r="P130" s="293"/>
      <c r="Q130" s="293"/>
      <c r="R130" s="293"/>
      <c r="S130" s="480">
        <f t="shared" si="26"/>
        <v>0</v>
      </c>
      <c r="T130" s="286">
        <f t="shared" si="27"/>
        <v>0</v>
      </c>
      <c r="U130" s="239" t="str">
        <f t="shared" si="28"/>
        <v/>
      </c>
      <c r="V130" s="19"/>
      <c r="AA130" s="244">
        <f t="shared" si="20"/>
        <v>0</v>
      </c>
      <c r="AB130" s="244">
        <f t="shared" si="21"/>
        <v>0</v>
      </c>
      <c r="AC130" s="244">
        <f t="shared" si="22"/>
        <v>0</v>
      </c>
      <c r="AD130" s="244">
        <f t="shared" si="23"/>
        <v>0</v>
      </c>
      <c r="AE130" s="244">
        <f t="shared" si="24"/>
        <v>0</v>
      </c>
    </row>
    <row r="131" spans="1:31" ht="24.95" customHeight="1" x14ac:dyDescent="0.2">
      <c r="B131" s="98"/>
      <c r="C131" s="96" t="s">
        <v>96</v>
      </c>
      <c r="D131" s="96" t="s">
        <v>96</v>
      </c>
      <c r="E131" s="67"/>
      <c r="F131" s="99"/>
      <c r="G131" s="97" t="s">
        <v>96</v>
      </c>
      <c r="H131" s="97" t="s">
        <v>96</v>
      </c>
      <c r="I131" s="237" t="str">
        <f t="shared" si="29"/>
        <v xml:space="preserve"> </v>
      </c>
      <c r="J131" s="100"/>
      <c r="K131" s="238" t="str">
        <f t="shared" si="30"/>
        <v xml:space="preserve"> </v>
      </c>
      <c r="L131" s="66"/>
      <c r="M131" s="476">
        <f t="shared" si="25"/>
        <v>0</v>
      </c>
      <c r="N131" s="293"/>
      <c r="O131" s="293"/>
      <c r="P131" s="293"/>
      <c r="Q131" s="293"/>
      <c r="R131" s="293"/>
      <c r="S131" s="480">
        <f t="shared" si="26"/>
        <v>0</v>
      </c>
      <c r="T131" s="286">
        <f t="shared" si="27"/>
        <v>0</v>
      </c>
      <c r="U131" s="239" t="str">
        <f t="shared" si="28"/>
        <v/>
      </c>
      <c r="V131" s="19"/>
      <c r="AA131" s="244">
        <f t="shared" si="20"/>
        <v>0</v>
      </c>
      <c r="AB131" s="244">
        <f t="shared" si="21"/>
        <v>0</v>
      </c>
      <c r="AC131" s="244">
        <f t="shared" si="22"/>
        <v>0</v>
      </c>
      <c r="AD131" s="244">
        <f t="shared" si="23"/>
        <v>0</v>
      </c>
      <c r="AE131" s="244">
        <f t="shared" si="24"/>
        <v>0</v>
      </c>
    </row>
    <row r="132" spans="1:31" ht="24.95" customHeight="1" x14ac:dyDescent="0.2">
      <c r="B132" s="98"/>
      <c r="C132" s="96" t="s">
        <v>96</v>
      </c>
      <c r="D132" s="96" t="s">
        <v>96</v>
      </c>
      <c r="E132" s="67"/>
      <c r="F132" s="99"/>
      <c r="G132" s="97" t="s">
        <v>96</v>
      </c>
      <c r="H132" s="97" t="s">
        <v>96</v>
      </c>
      <c r="I132" s="237" t="str">
        <f t="shared" si="29"/>
        <v xml:space="preserve"> </v>
      </c>
      <c r="J132" s="100"/>
      <c r="K132" s="238" t="str">
        <f t="shared" si="30"/>
        <v xml:space="preserve"> </v>
      </c>
      <c r="L132" s="66"/>
      <c r="M132" s="476">
        <f t="shared" si="25"/>
        <v>0</v>
      </c>
      <c r="N132" s="293"/>
      <c r="O132" s="293"/>
      <c r="P132" s="293"/>
      <c r="Q132" s="293"/>
      <c r="R132" s="293"/>
      <c r="S132" s="480">
        <f t="shared" si="26"/>
        <v>0</v>
      </c>
      <c r="T132" s="286">
        <f t="shared" si="27"/>
        <v>0</v>
      </c>
      <c r="U132" s="239" t="str">
        <f t="shared" si="28"/>
        <v/>
      </c>
      <c r="V132" s="19"/>
      <c r="AA132" s="244">
        <f t="shared" si="20"/>
        <v>0</v>
      </c>
      <c r="AB132" s="244">
        <f t="shared" si="21"/>
        <v>0</v>
      </c>
      <c r="AC132" s="244">
        <f t="shared" si="22"/>
        <v>0</v>
      </c>
      <c r="AD132" s="244">
        <f t="shared" si="23"/>
        <v>0</v>
      </c>
      <c r="AE132" s="244">
        <f t="shared" si="24"/>
        <v>0</v>
      </c>
    </row>
    <row r="133" spans="1:31" ht="24.95" customHeight="1" x14ac:dyDescent="0.2">
      <c r="B133" s="98"/>
      <c r="C133" s="96" t="s">
        <v>96</v>
      </c>
      <c r="D133" s="96" t="s">
        <v>96</v>
      </c>
      <c r="E133" s="67"/>
      <c r="F133" s="99"/>
      <c r="G133" s="97" t="s">
        <v>96</v>
      </c>
      <c r="H133" s="97" t="s">
        <v>96</v>
      </c>
      <c r="I133" s="237" t="str">
        <f t="shared" si="29"/>
        <v xml:space="preserve"> </v>
      </c>
      <c r="J133" s="100"/>
      <c r="K133" s="238" t="str">
        <f t="shared" si="30"/>
        <v xml:space="preserve"> </v>
      </c>
      <c r="L133" s="66"/>
      <c r="M133" s="476">
        <f t="shared" si="25"/>
        <v>0</v>
      </c>
      <c r="N133" s="293"/>
      <c r="O133" s="293"/>
      <c r="P133" s="293"/>
      <c r="Q133" s="293"/>
      <c r="R133" s="293"/>
      <c r="S133" s="480">
        <f t="shared" si="26"/>
        <v>0</v>
      </c>
      <c r="T133" s="286">
        <f t="shared" si="27"/>
        <v>0</v>
      </c>
      <c r="U133" s="239" t="str">
        <f t="shared" si="28"/>
        <v/>
      </c>
      <c r="V133" s="19"/>
      <c r="AA133" s="244">
        <f t="shared" si="20"/>
        <v>0</v>
      </c>
      <c r="AB133" s="244">
        <f t="shared" si="21"/>
        <v>0</v>
      </c>
      <c r="AC133" s="244">
        <f t="shared" si="22"/>
        <v>0</v>
      </c>
      <c r="AD133" s="244">
        <f t="shared" si="23"/>
        <v>0</v>
      </c>
      <c r="AE133" s="244">
        <f t="shared" si="24"/>
        <v>0</v>
      </c>
    </row>
    <row r="134" spans="1:31" s="334" customFormat="1" ht="32.25" customHeight="1" x14ac:dyDescent="0.2">
      <c r="A134" s="101"/>
      <c r="B134" s="30"/>
      <c r="C134" s="31"/>
      <c r="D134" s="31"/>
      <c r="E134" s="31"/>
      <c r="F134" s="32"/>
      <c r="G134" s="32"/>
      <c r="H134" s="32"/>
      <c r="I134" s="33"/>
      <c r="J134" s="34"/>
      <c r="K134" s="35"/>
      <c r="L134" s="333"/>
      <c r="M134" s="333"/>
      <c r="N134" s="333"/>
      <c r="O134" s="333"/>
      <c r="P134" s="333"/>
      <c r="Q134" s="333"/>
      <c r="R134" s="333"/>
      <c r="S134" s="333"/>
      <c r="T134" s="333"/>
      <c r="U134" s="333"/>
      <c r="V134" s="333"/>
      <c r="W134" s="333"/>
      <c r="AA134" s="244"/>
      <c r="AB134" s="244"/>
      <c r="AC134" s="244"/>
      <c r="AD134" s="244"/>
      <c r="AE134" s="244"/>
    </row>
    <row r="135" spans="1:31" ht="33.75" customHeight="1" thickBot="1" x14ac:dyDescent="0.25">
      <c r="A135" s="101">
        <v>65</v>
      </c>
      <c r="B135" s="723" t="s">
        <v>387</v>
      </c>
      <c r="C135" s="724"/>
      <c r="D135" s="724"/>
      <c r="E135" s="724"/>
      <c r="F135" s="724"/>
      <c r="G135" s="724"/>
      <c r="H135" s="724"/>
      <c r="I135" s="724"/>
      <c r="J135" s="724"/>
      <c r="K135" s="724"/>
      <c r="L135" s="724"/>
      <c r="M135" s="724"/>
      <c r="N135" s="724"/>
      <c r="O135" s="724"/>
      <c r="P135" s="724"/>
      <c r="Q135" s="724"/>
      <c r="R135" s="724"/>
      <c r="S135" s="724"/>
      <c r="T135" s="724"/>
      <c r="U135" s="725"/>
      <c r="V135" s="19"/>
    </row>
    <row r="136" spans="1:31" ht="26.1" customHeight="1" thickBot="1" x14ac:dyDescent="0.25">
      <c r="A136" s="101">
        <v>66</v>
      </c>
      <c r="B136" s="625" t="s">
        <v>210</v>
      </c>
      <c r="C136" s="628" t="s">
        <v>85</v>
      </c>
      <c r="D136" s="628" t="s">
        <v>185</v>
      </c>
      <c r="E136" s="628" t="s">
        <v>258</v>
      </c>
      <c r="F136" s="628" t="s">
        <v>104</v>
      </c>
      <c r="G136" s="629" t="s">
        <v>7</v>
      </c>
      <c r="H136" s="629"/>
      <c r="I136" s="628" t="s">
        <v>8</v>
      </c>
      <c r="J136" s="628" t="s">
        <v>390</v>
      </c>
      <c r="K136" s="628" t="s">
        <v>259</v>
      </c>
      <c r="L136" s="628" t="s">
        <v>366</v>
      </c>
      <c r="M136" s="643" t="s">
        <v>330</v>
      </c>
      <c r="N136" s="656" t="s">
        <v>325</v>
      </c>
      <c r="O136" s="657"/>
      <c r="P136" s="657"/>
      <c r="Q136" s="657"/>
      <c r="R136" s="240"/>
      <c r="S136" s="257"/>
      <c r="T136" s="258"/>
      <c r="U136" s="259"/>
      <c r="AA136" s="717" t="s">
        <v>325</v>
      </c>
      <c r="AB136" s="718"/>
      <c r="AC136" s="718"/>
      <c r="AD136" s="719"/>
    </row>
    <row r="137" spans="1:31" ht="26.25" customHeight="1" x14ac:dyDescent="0.25">
      <c r="B137" s="626"/>
      <c r="C137" s="628"/>
      <c r="D137" s="628"/>
      <c r="E137" s="628"/>
      <c r="F137" s="628"/>
      <c r="G137" s="628" t="s">
        <v>9</v>
      </c>
      <c r="H137" s="628" t="s">
        <v>10</v>
      </c>
      <c r="I137" s="628"/>
      <c r="J137" s="628"/>
      <c r="K137" s="628"/>
      <c r="L137" s="628"/>
      <c r="M137" s="644"/>
      <c r="N137" s="646" t="s">
        <v>194</v>
      </c>
      <c r="O137" s="646" t="s">
        <v>195</v>
      </c>
      <c r="P137" s="646" t="s">
        <v>196</v>
      </c>
      <c r="Q137" s="646" t="s">
        <v>326</v>
      </c>
      <c r="R137" s="617" t="s">
        <v>391</v>
      </c>
      <c r="S137" s="617" t="s">
        <v>393</v>
      </c>
      <c r="T137" s="245"/>
      <c r="U137" s="646" t="s">
        <v>327</v>
      </c>
      <c r="AA137" s="720" t="s">
        <v>194</v>
      </c>
      <c r="AB137" s="721" t="s">
        <v>195</v>
      </c>
      <c r="AC137" s="721" t="s">
        <v>196</v>
      </c>
      <c r="AD137" s="722" t="s">
        <v>326</v>
      </c>
    </row>
    <row r="138" spans="1:31" ht="81.75" customHeight="1" x14ac:dyDescent="0.25">
      <c r="B138" s="627"/>
      <c r="C138" s="628"/>
      <c r="D138" s="628"/>
      <c r="E138" s="628"/>
      <c r="F138" s="628"/>
      <c r="G138" s="628"/>
      <c r="H138" s="628"/>
      <c r="I138" s="628"/>
      <c r="J138" s="628"/>
      <c r="K138" s="628"/>
      <c r="L138" s="628"/>
      <c r="M138" s="645"/>
      <c r="N138" s="647"/>
      <c r="O138" s="647"/>
      <c r="P138" s="647"/>
      <c r="Q138" s="647"/>
      <c r="R138" s="726"/>
      <c r="S138" s="618"/>
      <c r="T138" s="245"/>
      <c r="U138" s="647"/>
      <c r="AA138" s="720"/>
      <c r="AB138" s="721"/>
      <c r="AC138" s="721"/>
      <c r="AD138" s="722"/>
    </row>
    <row r="139" spans="1:31" ht="24.95" customHeight="1" x14ac:dyDescent="0.2">
      <c r="A139" s="101">
        <v>67</v>
      </c>
      <c r="B139" s="98"/>
      <c r="C139" s="96" t="s">
        <v>96</v>
      </c>
      <c r="D139" s="96" t="s">
        <v>96</v>
      </c>
      <c r="E139" s="67"/>
      <c r="F139" s="99"/>
      <c r="G139" s="251" t="s">
        <v>96</v>
      </c>
      <c r="H139" s="251" t="s">
        <v>96</v>
      </c>
      <c r="I139" s="237" t="str">
        <f t="shared" ref="I139:I140" si="31">IF(ISERROR(DATEDIF(G139,H139,"M")+1)," ",DATEDIF(G139,H139,"M")+1)</f>
        <v xml:space="preserve"> </v>
      </c>
      <c r="J139" s="100"/>
      <c r="K139" s="238" t="str">
        <f t="shared" ref="K139:K140" si="32">IF(ISERROR(SUM(I139*J139/12))," ",SUM(I139*J139/12))</f>
        <v xml:space="preserve"> </v>
      </c>
      <c r="L139" s="66"/>
      <c r="M139" s="476">
        <f>L139</f>
        <v>0</v>
      </c>
      <c r="N139" s="293"/>
      <c r="O139" s="293"/>
      <c r="P139" s="293"/>
      <c r="Q139" s="293"/>
      <c r="R139" s="477">
        <f>IFERROR(M139/K139*S139,0)</f>
        <v>0</v>
      </c>
      <c r="S139" s="285">
        <f>SUM(N139:Q139)</f>
        <v>0</v>
      </c>
      <c r="T139" s="246"/>
      <c r="U139" s="482" t="str">
        <f>IF(S139&lt;=K139,"","zu viele Personalstunden verteilt")</f>
        <v/>
      </c>
      <c r="AA139" s="244">
        <f t="shared" ref="AA139:AA144" si="33">IFERROR(M139/K139*N139,0)</f>
        <v>0</v>
      </c>
      <c r="AB139" s="244">
        <f t="shared" ref="AB139:AB144" si="34">IFERROR(M139/K139*O139,0)</f>
        <v>0</v>
      </c>
      <c r="AC139" s="244">
        <f t="shared" ref="AC139:AC144" si="35">IFERROR(M139/K139*P139,0)</f>
        <v>0</v>
      </c>
      <c r="AD139" s="244">
        <f t="shared" ref="AD139:AD144" si="36">IFERROR(M139/K139*Q139,0)</f>
        <v>0</v>
      </c>
    </row>
    <row r="140" spans="1:31" ht="24.95" customHeight="1" x14ac:dyDescent="0.2">
      <c r="B140" s="98"/>
      <c r="C140" s="96" t="s">
        <v>96</v>
      </c>
      <c r="D140" s="96" t="s">
        <v>96</v>
      </c>
      <c r="E140" s="67"/>
      <c r="F140" s="99"/>
      <c r="G140" s="251" t="s">
        <v>96</v>
      </c>
      <c r="H140" s="251" t="s">
        <v>96</v>
      </c>
      <c r="I140" s="237" t="str">
        <f t="shared" si="31"/>
        <v xml:space="preserve"> </v>
      </c>
      <c r="J140" s="100"/>
      <c r="K140" s="238" t="str">
        <f t="shared" si="32"/>
        <v xml:space="preserve"> </v>
      </c>
      <c r="L140" s="66"/>
      <c r="M140" s="476">
        <f t="shared" ref="M140:M144" si="37">L140</f>
        <v>0</v>
      </c>
      <c r="N140" s="293"/>
      <c r="O140" s="293"/>
      <c r="P140" s="293"/>
      <c r="Q140" s="293"/>
      <c r="R140" s="477">
        <f t="shared" ref="R140:R144" si="38">IFERROR(M140/K140*S140,0)</f>
        <v>0</v>
      </c>
      <c r="S140" s="285">
        <f t="shared" ref="S140:S144" si="39">SUM(N140:Q140)</f>
        <v>0</v>
      </c>
      <c r="T140" s="246"/>
      <c r="U140" s="482" t="str">
        <f t="shared" ref="U140:U144" si="40">IF(S140&lt;=K140,"","zu viele Personalstunden verteilt")</f>
        <v/>
      </c>
      <c r="AA140" s="244">
        <f t="shared" si="33"/>
        <v>0</v>
      </c>
      <c r="AB140" s="244">
        <f t="shared" si="34"/>
        <v>0</v>
      </c>
      <c r="AC140" s="244">
        <f t="shared" si="35"/>
        <v>0</v>
      </c>
      <c r="AD140" s="244">
        <f t="shared" si="36"/>
        <v>0</v>
      </c>
    </row>
    <row r="141" spans="1:31" ht="24.95" customHeight="1" x14ac:dyDescent="0.2">
      <c r="B141" s="98"/>
      <c r="C141" s="96" t="s">
        <v>96</v>
      </c>
      <c r="D141" s="96" t="s">
        <v>96</v>
      </c>
      <c r="E141" s="67"/>
      <c r="F141" s="99"/>
      <c r="G141" s="251" t="s">
        <v>96</v>
      </c>
      <c r="H141" s="251" t="s">
        <v>96</v>
      </c>
      <c r="I141" s="237" t="str">
        <f t="shared" ref="I141:I142" si="41">IF(ISERROR(DATEDIF(G141,H141,"M")+1)," ",DATEDIF(G141,H141,"M")+1)</f>
        <v xml:space="preserve"> </v>
      </c>
      <c r="J141" s="100"/>
      <c r="K141" s="238" t="str">
        <f t="shared" ref="K141:K142" si="42">IF(ISERROR(SUM(I141*J141/12))," ",SUM(I141*J141/12))</f>
        <v xml:space="preserve"> </v>
      </c>
      <c r="L141" s="66"/>
      <c r="M141" s="476">
        <f t="shared" si="37"/>
        <v>0</v>
      </c>
      <c r="N141" s="293"/>
      <c r="O141" s="293"/>
      <c r="P141" s="293"/>
      <c r="Q141" s="293"/>
      <c r="R141" s="477">
        <f t="shared" si="38"/>
        <v>0</v>
      </c>
      <c r="S141" s="285">
        <f t="shared" si="39"/>
        <v>0</v>
      </c>
      <c r="T141" s="246"/>
      <c r="U141" s="482" t="str">
        <f t="shared" si="40"/>
        <v/>
      </c>
      <c r="AA141" s="244">
        <f t="shared" si="33"/>
        <v>0</v>
      </c>
      <c r="AB141" s="244">
        <f t="shared" si="34"/>
        <v>0</v>
      </c>
      <c r="AC141" s="244">
        <f t="shared" si="35"/>
        <v>0</v>
      </c>
      <c r="AD141" s="244">
        <f t="shared" si="36"/>
        <v>0</v>
      </c>
    </row>
    <row r="142" spans="1:31" ht="24.95" customHeight="1" x14ac:dyDescent="0.2">
      <c r="B142" s="98"/>
      <c r="C142" s="96" t="s">
        <v>96</v>
      </c>
      <c r="D142" s="96" t="s">
        <v>96</v>
      </c>
      <c r="E142" s="67"/>
      <c r="F142" s="99"/>
      <c r="G142" s="251" t="s">
        <v>96</v>
      </c>
      <c r="H142" s="251" t="s">
        <v>96</v>
      </c>
      <c r="I142" s="237" t="str">
        <f t="shared" si="41"/>
        <v xml:space="preserve"> </v>
      </c>
      <c r="J142" s="100"/>
      <c r="K142" s="238" t="str">
        <f t="shared" si="42"/>
        <v xml:space="preserve"> </v>
      </c>
      <c r="L142" s="66"/>
      <c r="M142" s="476">
        <f t="shared" si="37"/>
        <v>0</v>
      </c>
      <c r="N142" s="293"/>
      <c r="O142" s="293"/>
      <c r="P142" s="293"/>
      <c r="Q142" s="293"/>
      <c r="R142" s="477">
        <f t="shared" si="38"/>
        <v>0</v>
      </c>
      <c r="S142" s="285">
        <f t="shared" si="39"/>
        <v>0</v>
      </c>
      <c r="T142" s="246"/>
      <c r="U142" s="482" t="str">
        <f t="shared" si="40"/>
        <v/>
      </c>
      <c r="AA142" s="244">
        <f t="shared" si="33"/>
        <v>0</v>
      </c>
      <c r="AB142" s="244">
        <f t="shared" si="34"/>
        <v>0</v>
      </c>
      <c r="AC142" s="244">
        <f t="shared" si="35"/>
        <v>0</v>
      </c>
      <c r="AD142" s="244">
        <f t="shared" si="36"/>
        <v>0</v>
      </c>
    </row>
    <row r="143" spans="1:31" ht="24.95" customHeight="1" x14ac:dyDescent="0.2">
      <c r="B143" s="98"/>
      <c r="C143" s="96" t="s">
        <v>96</v>
      </c>
      <c r="D143" s="96" t="s">
        <v>96</v>
      </c>
      <c r="E143" s="67"/>
      <c r="F143" s="99"/>
      <c r="G143" s="251" t="s">
        <v>96</v>
      </c>
      <c r="H143" s="251" t="s">
        <v>96</v>
      </c>
      <c r="I143" s="237" t="str">
        <f t="shared" si="29"/>
        <v xml:space="preserve"> </v>
      </c>
      <c r="J143" s="100"/>
      <c r="K143" s="238" t="str">
        <f t="shared" si="30"/>
        <v xml:space="preserve"> </v>
      </c>
      <c r="L143" s="66"/>
      <c r="M143" s="476">
        <f t="shared" si="37"/>
        <v>0</v>
      </c>
      <c r="N143" s="293"/>
      <c r="O143" s="293"/>
      <c r="P143" s="293"/>
      <c r="Q143" s="293"/>
      <c r="R143" s="477">
        <f t="shared" si="38"/>
        <v>0</v>
      </c>
      <c r="S143" s="285">
        <f t="shared" si="39"/>
        <v>0</v>
      </c>
      <c r="T143" s="246"/>
      <c r="U143" s="482" t="str">
        <f t="shared" si="40"/>
        <v/>
      </c>
      <c r="AA143" s="244">
        <f t="shared" si="33"/>
        <v>0</v>
      </c>
      <c r="AB143" s="244">
        <f t="shared" si="34"/>
        <v>0</v>
      </c>
      <c r="AC143" s="244">
        <f t="shared" si="35"/>
        <v>0</v>
      </c>
      <c r="AD143" s="244">
        <f t="shared" si="36"/>
        <v>0</v>
      </c>
    </row>
    <row r="144" spans="1:31" ht="24.95" customHeight="1" thickBot="1" x14ac:dyDescent="0.25">
      <c r="B144" s="247"/>
      <c r="C144" s="248" t="s">
        <v>96</v>
      </c>
      <c r="D144" s="248" t="s">
        <v>96</v>
      </c>
      <c r="E144" s="249"/>
      <c r="F144" s="250"/>
      <c r="G144" s="251" t="s">
        <v>96</v>
      </c>
      <c r="H144" s="251" t="s">
        <v>96</v>
      </c>
      <c r="I144" s="252" t="str">
        <f t="shared" si="29"/>
        <v xml:space="preserve"> </v>
      </c>
      <c r="J144" s="253"/>
      <c r="K144" s="254" t="str">
        <f t="shared" si="30"/>
        <v xml:space="preserve"> </v>
      </c>
      <c r="L144" s="255"/>
      <c r="M144" s="476">
        <f t="shared" si="37"/>
        <v>0</v>
      </c>
      <c r="N144" s="294"/>
      <c r="O144" s="294"/>
      <c r="P144" s="294"/>
      <c r="Q144" s="294"/>
      <c r="R144" s="477">
        <f t="shared" si="38"/>
        <v>0</v>
      </c>
      <c r="S144" s="285">
        <f t="shared" si="39"/>
        <v>0</v>
      </c>
      <c r="T144" s="246"/>
      <c r="U144" s="482" t="str">
        <f t="shared" si="40"/>
        <v/>
      </c>
      <c r="AA144" s="244">
        <f t="shared" si="33"/>
        <v>0</v>
      </c>
      <c r="AB144" s="244">
        <f t="shared" si="34"/>
        <v>0</v>
      </c>
      <c r="AC144" s="244">
        <f t="shared" si="35"/>
        <v>0</v>
      </c>
      <c r="AD144" s="244">
        <f t="shared" si="36"/>
        <v>0</v>
      </c>
    </row>
    <row r="145" spans="1:31" ht="24.95" customHeight="1" thickBot="1" x14ac:dyDescent="0.3">
      <c r="A145" s="101">
        <v>68</v>
      </c>
      <c r="B145" s="622" t="s">
        <v>397</v>
      </c>
      <c r="C145" s="623"/>
      <c r="D145" s="623"/>
      <c r="E145" s="623"/>
      <c r="F145" s="623"/>
      <c r="G145" s="623"/>
      <c r="H145" s="623"/>
      <c r="I145" s="624"/>
      <c r="J145" s="241"/>
      <c r="K145" s="242">
        <f>SUM(J48:J87,J94:J133,J139:J144)</f>
        <v>0</v>
      </c>
      <c r="L145" s="242">
        <f>SUM(K48:K87,K94:K133,K139:K144)</f>
        <v>0</v>
      </c>
      <c r="M145" s="243">
        <f>SUM(L48:L87,L94:L133,L139:L144)</f>
        <v>0</v>
      </c>
      <c r="N145" s="242"/>
      <c r="O145" s="242"/>
      <c r="P145" s="242"/>
      <c r="Q145" s="242"/>
      <c r="R145" s="295">
        <f>SUM(S48:S87)+SUM(S94:S133)+SUM(R139:R144)</f>
        <v>0</v>
      </c>
      <c r="S145" s="287">
        <f>SUM(T48:T87)+SUM(T94:T133)+SUM(S139:S144)</f>
        <v>0</v>
      </c>
      <c r="T145" s="256"/>
      <c r="U145" s="256"/>
    </row>
    <row r="146" spans="1:31" ht="14.25" x14ac:dyDescent="0.2">
      <c r="B146" s="336"/>
      <c r="C146" s="336"/>
      <c r="D146" s="336"/>
      <c r="E146" s="336"/>
      <c r="F146" s="336"/>
      <c r="G146" s="336"/>
      <c r="H146" s="336"/>
      <c r="I146" s="336"/>
      <c r="J146" s="336"/>
      <c r="K146" s="336"/>
      <c r="L146" s="336"/>
      <c r="M146" s="336"/>
      <c r="N146" s="336"/>
      <c r="O146" s="336"/>
      <c r="P146" s="336"/>
      <c r="Q146" s="336"/>
      <c r="R146" s="336"/>
      <c r="S146" s="336"/>
      <c r="T146" s="336"/>
      <c r="U146" s="336"/>
      <c r="V146" s="333"/>
      <c r="W146" s="333"/>
      <c r="X146" s="334"/>
      <c r="Y146" s="334"/>
      <c r="Z146" s="334"/>
      <c r="AA146" s="334"/>
      <c r="AB146" s="334"/>
      <c r="AC146" s="334"/>
      <c r="AD146" s="334"/>
      <c r="AE146" s="334"/>
    </row>
    <row r="147" spans="1:31" s="210" customFormat="1" ht="15" thickBot="1" x14ac:dyDescent="0.25">
      <c r="A147" s="101"/>
      <c r="B147" s="30"/>
      <c r="C147" s="31"/>
      <c r="D147" s="31"/>
      <c r="E147" s="31"/>
      <c r="F147" s="32"/>
      <c r="G147" s="32"/>
      <c r="H147" s="32"/>
      <c r="I147" s="33"/>
      <c r="J147" s="34"/>
      <c r="K147" s="35"/>
      <c r="L147" s="333"/>
      <c r="M147" s="333"/>
      <c r="N147" s="333"/>
      <c r="O147" s="333"/>
      <c r="P147" s="333"/>
      <c r="Q147" s="333"/>
      <c r="R147" s="333"/>
      <c r="S147" s="333"/>
      <c r="T147" s="333"/>
      <c r="U147" s="333"/>
      <c r="V147" s="209"/>
      <c r="W147" s="209"/>
    </row>
    <row r="148" spans="1:31" s="210" customFormat="1" ht="27" customHeight="1" x14ac:dyDescent="0.2">
      <c r="A148" s="101">
        <v>69</v>
      </c>
      <c r="B148" s="619" t="s">
        <v>462</v>
      </c>
      <c r="C148" s="620"/>
      <c r="D148" s="620"/>
      <c r="E148" s="620"/>
      <c r="F148" s="621"/>
      <c r="G148" s="35"/>
      <c r="H148" s="209"/>
      <c r="I148" s="209"/>
      <c r="J148" s="228"/>
      <c r="K148" s="228"/>
      <c r="L148" s="228"/>
      <c r="M148" s="228"/>
      <c r="N148" s="228"/>
      <c r="O148" s="228"/>
      <c r="P148" s="209"/>
      <c r="Q148" s="209"/>
      <c r="R148" s="209"/>
      <c r="S148" s="209"/>
      <c r="W148" s="424"/>
      <c r="X148" s="424"/>
      <c r="Y148" s="424"/>
      <c r="AA148" s="244">
        <f>SUM(AA48:AA87)+SUM(AA94:AA133)+SUM(AA139:AA144)</f>
        <v>0</v>
      </c>
      <c r="AB148" s="244">
        <f t="shared" ref="AB148:AD148" si="43">SUM(AB48:AB87)+SUM(AB94:AB133)+SUM(AB139:AB144)</f>
        <v>0</v>
      </c>
      <c r="AC148" s="244">
        <f t="shared" si="43"/>
        <v>0</v>
      </c>
      <c r="AD148" s="244">
        <f t="shared" si="43"/>
        <v>0</v>
      </c>
      <c r="AE148" s="244">
        <f>SUM(AE48:AE87)+SUM(AE94:AE133)</f>
        <v>0</v>
      </c>
    </row>
    <row r="149" spans="1:31" s="210" customFormat="1" ht="14.25" customHeight="1" x14ac:dyDescent="0.2">
      <c r="A149" s="101">
        <v>70</v>
      </c>
      <c r="B149" s="630" t="s">
        <v>268</v>
      </c>
      <c r="C149" s="631" t="s">
        <v>307</v>
      </c>
      <c r="D149" s="631" t="s">
        <v>308</v>
      </c>
      <c r="E149" s="631" t="s">
        <v>394</v>
      </c>
      <c r="F149" s="655" t="s">
        <v>522</v>
      </c>
      <c r="G149" s="209"/>
      <c r="H149" s="209"/>
      <c r="I149" s="228"/>
      <c r="J149" s="228"/>
      <c r="K149" s="228"/>
      <c r="L149" s="228"/>
      <c r="M149" s="228"/>
      <c r="N149" s="228"/>
      <c r="O149" s="209"/>
      <c r="P149" s="209"/>
      <c r="Q149" s="209"/>
      <c r="R149" s="209"/>
    </row>
    <row r="150" spans="1:31" s="210" customFormat="1" ht="14.25" x14ac:dyDescent="0.2">
      <c r="A150" s="101"/>
      <c r="B150" s="630"/>
      <c r="C150" s="631"/>
      <c r="D150" s="631"/>
      <c r="E150" s="631"/>
      <c r="F150" s="655"/>
      <c r="G150" s="209"/>
      <c r="H150" s="209"/>
      <c r="I150" s="228"/>
      <c r="J150" s="228"/>
      <c r="K150" s="228"/>
      <c r="L150" s="228"/>
      <c r="M150" s="228"/>
      <c r="N150" s="228"/>
      <c r="O150" s="209"/>
      <c r="P150" s="209"/>
      <c r="Q150" s="209"/>
      <c r="R150" s="209"/>
    </row>
    <row r="151" spans="1:31" s="210" customFormat="1" ht="69" customHeight="1" x14ac:dyDescent="0.2">
      <c r="A151" s="101"/>
      <c r="B151" s="630"/>
      <c r="C151" s="631"/>
      <c r="D151" s="631"/>
      <c r="E151" s="631"/>
      <c r="F151" s="655"/>
      <c r="G151" s="209"/>
      <c r="H151" s="209"/>
      <c r="I151" s="228"/>
      <c r="J151" s="228"/>
      <c r="K151" s="228"/>
      <c r="L151" s="228"/>
      <c r="M151" s="228"/>
      <c r="N151" s="228"/>
      <c r="O151" s="209"/>
      <c r="P151" s="209"/>
      <c r="Q151" s="209"/>
      <c r="R151" s="209"/>
    </row>
    <row r="152" spans="1:31" s="210" customFormat="1" ht="24.95" customHeight="1" x14ac:dyDescent="0.2">
      <c r="A152" s="101">
        <v>71</v>
      </c>
      <c r="B152" s="450"/>
      <c r="C152" s="215" t="s">
        <v>96</v>
      </c>
      <c r="D152" s="451"/>
      <c r="E152" s="452"/>
      <c r="F152" s="289">
        <f>E152*0.8</f>
        <v>0</v>
      </c>
      <c r="G152" s="35"/>
      <c r="H152" s="209"/>
      <c r="I152" s="209"/>
      <c r="J152" s="228"/>
      <c r="K152" s="228"/>
      <c r="L152" s="228"/>
      <c r="M152" s="228"/>
      <c r="N152" s="228"/>
      <c r="O152" s="228"/>
      <c r="P152" s="209"/>
      <c r="Q152" s="209"/>
      <c r="R152" s="209"/>
      <c r="S152" s="209"/>
    </row>
    <row r="153" spans="1:31" s="210" customFormat="1" ht="24.95" customHeight="1" x14ac:dyDescent="0.2">
      <c r="A153" s="101"/>
      <c r="B153" s="450"/>
      <c r="C153" s="215" t="s">
        <v>96</v>
      </c>
      <c r="D153" s="451"/>
      <c r="E153" s="452"/>
      <c r="F153" s="289">
        <f t="shared" ref="F153:F158" si="44">E153*0.8</f>
        <v>0</v>
      </c>
      <c r="G153" s="35"/>
      <c r="H153" s="209"/>
      <c r="I153" s="209"/>
      <c r="J153" s="228"/>
      <c r="K153" s="228"/>
      <c r="L153" s="228"/>
      <c r="M153" s="228"/>
      <c r="N153" s="228"/>
      <c r="O153" s="228"/>
      <c r="P153" s="209"/>
      <c r="Q153" s="209"/>
      <c r="R153" s="209"/>
      <c r="S153" s="209"/>
    </row>
    <row r="154" spans="1:31" s="210" customFormat="1" ht="24.95" customHeight="1" x14ac:dyDescent="0.2">
      <c r="A154" s="101"/>
      <c r="B154" s="450"/>
      <c r="C154" s="215" t="s">
        <v>96</v>
      </c>
      <c r="D154" s="451"/>
      <c r="E154" s="452"/>
      <c r="F154" s="289">
        <f t="shared" si="44"/>
        <v>0</v>
      </c>
      <c r="G154" s="35"/>
      <c r="H154" s="209"/>
      <c r="I154" s="209"/>
      <c r="J154" s="228"/>
      <c r="K154" s="228"/>
      <c r="L154" s="228"/>
      <c r="M154" s="228"/>
      <c r="N154" s="228"/>
      <c r="O154" s="228"/>
      <c r="P154" s="209"/>
      <c r="Q154" s="209"/>
      <c r="R154" s="209"/>
      <c r="S154" s="209"/>
    </row>
    <row r="155" spans="1:31" s="210" customFormat="1" ht="24.95" customHeight="1" x14ac:dyDescent="0.2">
      <c r="A155" s="101"/>
      <c r="B155" s="450"/>
      <c r="C155" s="215" t="s">
        <v>96</v>
      </c>
      <c r="D155" s="451"/>
      <c r="E155" s="452"/>
      <c r="F155" s="289">
        <f t="shared" si="44"/>
        <v>0</v>
      </c>
      <c r="G155" s="35"/>
      <c r="H155" s="209"/>
      <c r="I155" s="209"/>
      <c r="J155" s="228"/>
      <c r="K155" s="228"/>
      <c r="L155" s="228"/>
      <c r="M155" s="228"/>
      <c r="N155" s="228"/>
      <c r="O155" s="228"/>
      <c r="P155" s="209"/>
      <c r="Q155" s="209"/>
      <c r="R155" s="209"/>
      <c r="S155" s="209"/>
    </row>
    <row r="156" spans="1:31" s="210" customFormat="1" ht="24.95" customHeight="1" x14ac:dyDescent="0.2">
      <c r="A156" s="101"/>
      <c r="B156" s="450"/>
      <c r="C156" s="215" t="s">
        <v>96</v>
      </c>
      <c r="D156" s="451"/>
      <c r="E156" s="452"/>
      <c r="F156" s="289">
        <f t="shared" si="44"/>
        <v>0</v>
      </c>
      <c r="G156" s="35"/>
      <c r="H156" s="209"/>
      <c r="I156" s="209"/>
      <c r="J156" s="228"/>
      <c r="K156" s="228"/>
      <c r="L156" s="228"/>
      <c r="M156" s="228"/>
      <c r="N156" s="228"/>
      <c r="O156" s="228"/>
      <c r="P156" s="209"/>
      <c r="Q156" s="209"/>
      <c r="R156" s="209"/>
      <c r="S156" s="209"/>
    </row>
    <row r="157" spans="1:31" s="210" customFormat="1" ht="24.95" customHeight="1" x14ac:dyDescent="0.2">
      <c r="A157" s="101"/>
      <c r="B157" s="450"/>
      <c r="C157" s="215" t="s">
        <v>96</v>
      </c>
      <c r="D157" s="451"/>
      <c r="E157" s="452"/>
      <c r="F157" s="289">
        <f t="shared" si="44"/>
        <v>0</v>
      </c>
      <c r="G157" s="35"/>
      <c r="H157" s="209"/>
      <c r="I157" s="209"/>
      <c r="J157" s="228"/>
      <c r="K157" s="228"/>
      <c r="L157" s="228"/>
      <c r="M157" s="228"/>
      <c r="N157" s="228"/>
      <c r="O157" s="228"/>
      <c r="P157" s="209"/>
      <c r="Q157" s="209"/>
      <c r="R157" s="209"/>
      <c r="S157" s="209"/>
    </row>
    <row r="158" spans="1:31" s="210" customFormat="1" ht="24.95" customHeight="1" x14ac:dyDescent="0.2">
      <c r="A158" s="101"/>
      <c r="B158" s="450"/>
      <c r="C158" s="215" t="s">
        <v>96</v>
      </c>
      <c r="D158" s="451"/>
      <c r="E158" s="452"/>
      <c r="F158" s="289">
        <f t="shared" si="44"/>
        <v>0</v>
      </c>
      <c r="G158" s="35"/>
      <c r="H158" s="209"/>
      <c r="I158" s="209"/>
      <c r="J158" s="228"/>
      <c r="K158" s="228"/>
      <c r="L158" s="228"/>
      <c r="M158" s="228"/>
      <c r="N158" s="228"/>
      <c r="O158" s="228"/>
      <c r="P158" s="209"/>
      <c r="Q158" s="209"/>
      <c r="R158" s="209"/>
      <c r="S158" s="209"/>
    </row>
    <row r="159" spans="1:31" s="210" customFormat="1" ht="24.95" customHeight="1" thickBot="1" x14ac:dyDescent="0.3">
      <c r="A159" s="101"/>
      <c r="B159" s="290" t="s">
        <v>120</v>
      </c>
      <c r="C159" s="291"/>
      <c r="D159" s="291"/>
      <c r="E159" s="428">
        <f>IF(Grunddaten_Antrag!E59="nein",0,SUM(E152:E158))</f>
        <v>0</v>
      </c>
      <c r="F159" s="292">
        <f>IF(Grunddaten_Antrag!E59="nein",0,SUM(Personal!F152:F158))</f>
        <v>0</v>
      </c>
      <c r="G159" s="35"/>
      <c r="H159" s="209"/>
      <c r="I159" s="209"/>
      <c r="J159" s="228"/>
      <c r="K159" s="228"/>
      <c r="L159" s="228"/>
      <c r="M159" s="228"/>
      <c r="N159" s="228"/>
      <c r="O159" s="228"/>
      <c r="P159" s="209"/>
      <c r="Q159" s="209"/>
      <c r="R159" s="209"/>
      <c r="S159" s="209"/>
    </row>
    <row r="160" spans="1:31" s="210" customFormat="1" ht="14.25" x14ac:dyDescent="0.2">
      <c r="A160" s="101"/>
      <c r="B160" s="30"/>
      <c r="C160" s="31"/>
      <c r="D160" s="31"/>
      <c r="E160" s="31"/>
      <c r="F160" s="32"/>
      <c r="G160" s="32"/>
      <c r="H160" s="32"/>
      <c r="I160" s="33"/>
      <c r="J160" s="34"/>
      <c r="K160" s="35"/>
      <c r="L160" s="333"/>
      <c r="M160" s="333"/>
      <c r="N160" s="333"/>
      <c r="O160" s="333"/>
      <c r="P160" s="333"/>
      <c r="Q160" s="333"/>
      <c r="R160" s="333"/>
      <c r="S160" s="333"/>
      <c r="T160" s="333"/>
      <c r="U160" s="333"/>
      <c r="V160" s="209"/>
      <c r="W160" s="209"/>
    </row>
    <row r="161" spans="1:23" s="424" customFormat="1" ht="15" thickBot="1" x14ac:dyDescent="0.25">
      <c r="A161" s="101"/>
      <c r="B161" s="30"/>
      <c r="C161" s="31"/>
      <c r="D161" s="31"/>
      <c r="E161" s="31"/>
      <c r="F161" s="32"/>
      <c r="G161" s="32"/>
      <c r="H161" s="32"/>
      <c r="I161" s="33"/>
      <c r="J161" s="34"/>
      <c r="K161" s="35"/>
      <c r="L161" s="423"/>
      <c r="M161" s="423"/>
      <c r="N161" s="423"/>
      <c r="O161" s="423"/>
      <c r="P161" s="423"/>
      <c r="Q161" s="423"/>
      <c r="R161" s="423"/>
      <c r="S161" s="423"/>
      <c r="T161" s="423"/>
      <c r="U161" s="423"/>
      <c r="V161" s="423"/>
      <c r="W161" s="423"/>
    </row>
    <row r="162" spans="1:23" s="424" customFormat="1" ht="30.75" customHeight="1" x14ac:dyDescent="0.2">
      <c r="A162" s="101">
        <v>72</v>
      </c>
      <c r="B162" s="619" t="s">
        <v>463</v>
      </c>
      <c r="C162" s="620"/>
      <c r="D162" s="620"/>
      <c r="E162" s="620"/>
      <c r="F162" s="621"/>
      <c r="G162" s="34"/>
      <c r="H162" s="35"/>
      <c r="I162" s="423"/>
      <c r="J162" s="423"/>
      <c r="K162" s="423"/>
      <c r="L162" s="423"/>
      <c r="M162" s="423"/>
      <c r="N162" s="423"/>
      <c r="O162" s="423"/>
      <c r="P162" s="423"/>
      <c r="Q162" s="423"/>
      <c r="R162" s="423"/>
      <c r="S162" s="423"/>
      <c r="T162" s="423"/>
    </row>
    <row r="163" spans="1:23" s="424" customFormat="1" ht="14.25" customHeight="1" x14ac:dyDescent="0.2">
      <c r="A163" s="101">
        <v>73</v>
      </c>
      <c r="B163" s="630" t="s">
        <v>268</v>
      </c>
      <c r="C163" s="631" t="s">
        <v>307</v>
      </c>
      <c r="D163" s="631" t="s">
        <v>308</v>
      </c>
      <c r="E163" s="631" t="s">
        <v>394</v>
      </c>
      <c r="F163" s="655" t="s">
        <v>522</v>
      </c>
      <c r="G163" s="34"/>
      <c r="H163" s="35"/>
      <c r="I163" s="423"/>
      <c r="J163" s="423"/>
      <c r="K163" s="423"/>
      <c r="L163" s="423"/>
      <c r="M163" s="423"/>
      <c r="N163" s="423"/>
      <c r="O163" s="423"/>
      <c r="P163" s="423"/>
      <c r="Q163" s="423"/>
      <c r="R163" s="423"/>
      <c r="S163" s="423"/>
      <c r="T163" s="423"/>
    </row>
    <row r="164" spans="1:23" s="424" customFormat="1" ht="14.25" x14ac:dyDescent="0.2">
      <c r="A164" s="101"/>
      <c r="B164" s="630"/>
      <c r="C164" s="631"/>
      <c r="D164" s="631"/>
      <c r="E164" s="631"/>
      <c r="F164" s="655"/>
      <c r="G164" s="34"/>
      <c r="H164" s="35"/>
      <c r="I164" s="423"/>
      <c r="J164" s="423"/>
      <c r="K164" s="423"/>
      <c r="L164" s="423"/>
      <c r="M164" s="423"/>
      <c r="N164" s="423"/>
      <c r="O164" s="423"/>
      <c r="P164" s="423"/>
      <c r="Q164" s="423"/>
      <c r="R164" s="423"/>
      <c r="S164" s="423"/>
      <c r="T164" s="423"/>
    </row>
    <row r="165" spans="1:23" s="424" customFormat="1" ht="70.5" customHeight="1" x14ac:dyDescent="0.2">
      <c r="A165" s="101">
        <v>74</v>
      </c>
      <c r="B165" s="630"/>
      <c r="C165" s="631"/>
      <c r="D165" s="631"/>
      <c r="E165" s="631"/>
      <c r="F165" s="655"/>
      <c r="G165" s="34"/>
      <c r="H165" s="35"/>
      <c r="I165" s="423"/>
      <c r="J165" s="423"/>
      <c r="K165" s="423"/>
      <c r="L165" s="423"/>
      <c r="M165" s="423"/>
      <c r="N165" s="423"/>
      <c r="O165" s="423"/>
      <c r="P165" s="423"/>
      <c r="Q165" s="423"/>
      <c r="R165" s="423"/>
      <c r="S165" s="423"/>
      <c r="T165" s="423"/>
    </row>
    <row r="166" spans="1:23" s="424" customFormat="1" ht="24.95" customHeight="1" x14ac:dyDescent="0.2">
      <c r="A166" s="101"/>
      <c r="B166" s="450"/>
      <c r="C166" s="215" t="s">
        <v>96</v>
      </c>
      <c r="D166" s="451"/>
      <c r="E166" s="452"/>
      <c r="F166" s="289">
        <f>E166*0.8</f>
        <v>0</v>
      </c>
      <c r="G166" s="34"/>
      <c r="H166" s="35"/>
      <c r="I166" s="423"/>
      <c r="J166" s="423"/>
      <c r="K166" s="423"/>
      <c r="L166" s="423"/>
      <c r="M166" s="423"/>
      <c r="N166" s="423"/>
      <c r="O166" s="423"/>
      <c r="P166" s="423"/>
      <c r="Q166" s="423"/>
      <c r="R166" s="423"/>
      <c r="S166" s="423"/>
      <c r="T166" s="423"/>
    </row>
    <row r="167" spans="1:23" s="424" customFormat="1" ht="24.95" customHeight="1" x14ac:dyDescent="0.2">
      <c r="A167" s="101"/>
      <c r="B167" s="450"/>
      <c r="C167" s="215" t="s">
        <v>96</v>
      </c>
      <c r="D167" s="451"/>
      <c r="E167" s="452"/>
      <c r="F167" s="289">
        <f t="shared" ref="F167:F172" si="45">E167*0.8</f>
        <v>0</v>
      </c>
      <c r="G167" s="34"/>
      <c r="H167" s="35"/>
      <c r="I167" s="423"/>
      <c r="J167" s="423"/>
      <c r="K167" s="423"/>
      <c r="L167" s="423"/>
      <c r="M167" s="423"/>
      <c r="N167" s="423"/>
      <c r="O167" s="423"/>
      <c r="P167" s="423"/>
      <c r="Q167" s="423"/>
      <c r="R167" s="423"/>
      <c r="S167" s="423"/>
      <c r="T167" s="423"/>
    </row>
    <row r="168" spans="1:23" s="424" customFormat="1" ht="24.95" customHeight="1" x14ac:dyDescent="0.2">
      <c r="A168" s="101"/>
      <c r="B168" s="450"/>
      <c r="C168" s="215" t="s">
        <v>96</v>
      </c>
      <c r="D168" s="451"/>
      <c r="E168" s="452"/>
      <c r="F168" s="289">
        <f t="shared" si="45"/>
        <v>0</v>
      </c>
      <c r="G168" s="34"/>
      <c r="H168" s="35"/>
      <c r="I168" s="423"/>
      <c r="J168" s="423"/>
      <c r="K168" s="423"/>
      <c r="L168" s="423"/>
      <c r="M168" s="423"/>
      <c r="N168" s="423"/>
      <c r="O168" s="423"/>
      <c r="P168" s="423"/>
      <c r="Q168" s="423"/>
      <c r="R168" s="423"/>
      <c r="S168" s="423"/>
      <c r="T168" s="423"/>
    </row>
    <row r="169" spans="1:23" s="424" customFormat="1" ht="24.95" customHeight="1" x14ac:dyDescent="0.2">
      <c r="A169" s="101"/>
      <c r="B169" s="450"/>
      <c r="C169" s="215" t="s">
        <v>96</v>
      </c>
      <c r="D169" s="451"/>
      <c r="E169" s="452"/>
      <c r="F169" s="289">
        <f t="shared" si="45"/>
        <v>0</v>
      </c>
      <c r="G169" s="34"/>
      <c r="H169" s="35"/>
      <c r="I169" s="423"/>
      <c r="J169" s="423"/>
      <c r="K169" s="423"/>
      <c r="L169" s="423"/>
      <c r="M169" s="423"/>
      <c r="N169" s="423"/>
      <c r="O169" s="423"/>
      <c r="P169" s="423"/>
      <c r="Q169" s="423"/>
      <c r="R169" s="423"/>
      <c r="S169" s="423"/>
      <c r="T169" s="423"/>
    </row>
    <row r="170" spans="1:23" s="424" customFormat="1" ht="24.95" customHeight="1" x14ac:dyDescent="0.2">
      <c r="A170" s="101"/>
      <c r="B170" s="450"/>
      <c r="C170" s="215" t="s">
        <v>96</v>
      </c>
      <c r="D170" s="451"/>
      <c r="E170" s="452"/>
      <c r="F170" s="289">
        <f t="shared" si="45"/>
        <v>0</v>
      </c>
      <c r="G170" s="34"/>
      <c r="H170" s="35"/>
      <c r="I170" s="423"/>
      <c r="J170" s="423"/>
      <c r="K170" s="423"/>
      <c r="L170" s="423"/>
      <c r="M170" s="423"/>
      <c r="N170" s="423"/>
      <c r="O170" s="423"/>
      <c r="P170" s="423"/>
      <c r="Q170" s="423"/>
      <c r="R170" s="423"/>
      <c r="S170" s="423"/>
      <c r="T170" s="423"/>
    </row>
    <row r="171" spans="1:23" s="424" customFormat="1" ht="24.95" customHeight="1" x14ac:dyDescent="0.2">
      <c r="A171" s="101"/>
      <c r="B171" s="450"/>
      <c r="C171" s="215" t="s">
        <v>96</v>
      </c>
      <c r="D171" s="451"/>
      <c r="E171" s="452"/>
      <c r="F171" s="289">
        <f t="shared" si="45"/>
        <v>0</v>
      </c>
      <c r="G171" s="34"/>
      <c r="H171" s="35"/>
      <c r="I171" s="423"/>
      <c r="J171" s="423"/>
      <c r="K171" s="423"/>
      <c r="L171" s="423"/>
      <c r="M171" s="423"/>
      <c r="N171" s="423"/>
      <c r="O171" s="423"/>
      <c r="P171" s="423"/>
      <c r="Q171" s="423"/>
      <c r="R171" s="423"/>
      <c r="S171" s="423"/>
      <c r="T171" s="423"/>
    </row>
    <row r="172" spans="1:23" s="424" customFormat="1" ht="24.95" customHeight="1" x14ac:dyDescent="0.2">
      <c r="A172" s="101"/>
      <c r="B172" s="450"/>
      <c r="C172" s="215" t="s">
        <v>96</v>
      </c>
      <c r="D172" s="451"/>
      <c r="E172" s="452"/>
      <c r="F172" s="289">
        <f t="shared" si="45"/>
        <v>0</v>
      </c>
      <c r="G172" s="34"/>
      <c r="H172" s="35"/>
      <c r="I172" s="423"/>
      <c r="J172" s="423"/>
      <c r="K172" s="423"/>
      <c r="L172" s="423"/>
      <c r="M172" s="423"/>
      <c r="N172" s="423"/>
      <c r="O172" s="423"/>
      <c r="P172" s="423"/>
      <c r="Q172" s="423"/>
      <c r="R172" s="423"/>
      <c r="S172" s="423"/>
      <c r="T172" s="423"/>
    </row>
    <row r="173" spans="1:23" s="424" customFormat="1" ht="24.95" customHeight="1" thickBot="1" x14ac:dyDescent="0.3">
      <c r="A173" s="101"/>
      <c r="B173" s="290" t="s">
        <v>120</v>
      </c>
      <c r="C173" s="291"/>
      <c r="D173" s="291"/>
      <c r="E173" s="428">
        <f>IF(Grunddaten_Antrag!E59="nein",0,SUM(E166:E172))</f>
        <v>0</v>
      </c>
      <c r="F173" s="292">
        <f>IF(Grunddaten_Antrag!E59="nein",0,SUM(F166:F172))</f>
        <v>0</v>
      </c>
      <c r="G173" s="34"/>
      <c r="H173" s="35"/>
      <c r="I173" s="423"/>
      <c r="J173" s="423"/>
      <c r="K173" s="423"/>
      <c r="L173" s="423"/>
      <c r="M173" s="423"/>
      <c r="N173" s="423"/>
      <c r="O173" s="423"/>
      <c r="P173" s="423"/>
      <c r="Q173" s="423"/>
      <c r="R173" s="423"/>
      <c r="S173" s="423"/>
      <c r="T173" s="423"/>
    </row>
    <row r="174" spans="1:23" s="424" customFormat="1" ht="14.25" x14ac:dyDescent="0.2">
      <c r="A174" s="101"/>
      <c r="B174" s="30"/>
      <c r="C174" s="31"/>
      <c r="D174" s="31"/>
      <c r="E174" s="31"/>
      <c r="F174" s="32"/>
      <c r="G174" s="32"/>
      <c r="H174" s="32"/>
      <c r="I174" s="33"/>
      <c r="J174" s="34"/>
      <c r="K174" s="35"/>
      <c r="L174" s="423"/>
      <c r="M174" s="423"/>
      <c r="N174" s="423"/>
      <c r="O174" s="423"/>
      <c r="P174" s="423"/>
      <c r="Q174" s="423"/>
      <c r="R174" s="423"/>
      <c r="S174" s="423"/>
      <c r="T174" s="423"/>
      <c r="U174" s="423"/>
      <c r="V174" s="423"/>
      <c r="W174" s="423"/>
    </row>
    <row r="175" spans="1:23" s="210" customFormat="1" ht="14.25" x14ac:dyDescent="0.2">
      <c r="A175" s="101"/>
      <c r="B175" s="30"/>
      <c r="C175" s="31"/>
      <c r="D175" s="31"/>
      <c r="E175" s="31"/>
      <c r="F175" s="32"/>
      <c r="G175" s="32"/>
      <c r="H175" s="32"/>
      <c r="I175" s="33"/>
      <c r="J175" s="34"/>
      <c r="K175" s="35"/>
      <c r="L175" s="333"/>
      <c r="M175" s="333"/>
      <c r="N175" s="333"/>
      <c r="O175" s="333"/>
      <c r="P175" s="333"/>
      <c r="Q175" s="333"/>
      <c r="R175" s="333"/>
      <c r="S175" s="333"/>
      <c r="T175" s="333"/>
      <c r="U175" s="333"/>
      <c r="V175" s="209"/>
      <c r="W175" s="209"/>
    </row>
    <row r="176" spans="1:23" ht="48" customHeight="1" x14ac:dyDescent="0.25">
      <c r="A176" s="101">
        <v>75</v>
      </c>
      <c r="B176" s="699" t="s">
        <v>465</v>
      </c>
      <c r="C176" s="700"/>
      <c r="D176" s="700"/>
      <c r="E176" s="700"/>
      <c r="F176" s="700"/>
      <c r="G176" s="700"/>
      <c r="H176" s="700"/>
      <c r="I176" s="700"/>
      <c r="J176" s="700"/>
      <c r="K176" s="700"/>
      <c r="L176" s="700"/>
      <c r="M176" s="700"/>
      <c r="N176" s="701"/>
      <c r="O176" s="176">
        <v>78</v>
      </c>
      <c r="P176" s="711" t="s">
        <v>466</v>
      </c>
      <c r="Q176" s="712"/>
      <c r="R176" s="713"/>
      <c r="S176" s="176"/>
      <c r="T176" s="176"/>
    </row>
    <row r="177" spans="1:20" ht="14.25" customHeight="1" x14ac:dyDescent="0.2">
      <c r="A177" s="101">
        <v>76</v>
      </c>
      <c r="B177" s="628" t="s">
        <v>268</v>
      </c>
      <c r="C177" s="696" t="s">
        <v>133</v>
      </c>
      <c r="D177" s="696" t="s">
        <v>334</v>
      </c>
      <c r="E177" s="696" t="s">
        <v>104</v>
      </c>
      <c r="F177" s="697" t="s">
        <v>7</v>
      </c>
      <c r="G177" s="698"/>
      <c r="H177" s="696" t="s">
        <v>109</v>
      </c>
      <c r="I177" s="696" t="s">
        <v>82</v>
      </c>
      <c r="J177" s="696" t="s">
        <v>399</v>
      </c>
      <c r="K177" s="702" t="s">
        <v>106</v>
      </c>
      <c r="L177" s="703"/>
      <c r="M177" s="703"/>
      <c r="N177" s="704"/>
      <c r="O177" s="176"/>
      <c r="P177" s="631" t="s">
        <v>309</v>
      </c>
      <c r="Q177" s="715" t="s">
        <v>311</v>
      </c>
      <c r="R177" s="716" t="s">
        <v>310</v>
      </c>
      <c r="S177" s="176"/>
      <c r="T177" s="176"/>
    </row>
    <row r="178" spans="1:20" ht="14.25" customHeight="1" x14ac:dyDescent="0.2">
      <c r="B178" s="628"/>
      <c r="C178" s="696"/>
      <c r="D178" s="696"/>
      <c r="E178" s="696"/>
      <c r="F178" s="696" t="s">
        <v>9</v>
      </c>
      <c r="G178" s="696" t="s">
        <v>10</v>
      </c>
      <c r="H178" s="696"/>
      <c r="I178" s="696"/>
      <c r="J178" s="696"/>
      <c r="K178" s="705"/>
      <c r="L178" s="706"/>
      <c r="M178" s="706"/>
      <c r="N178" s="707"/>
      <c r="O178" s="176"/>
      <c r="P178" s="631"/>
      <c r="Q178" s="715"/>
      <c r="R178" s="716"/>
      <c r="S178" s="176"/>
      <c r="T178" s="176"/>
    </row>
    <row r="179" spans="1:20" ht="33" customHeight="1" x14ac:dyDescent="0.2">
      <c r="B179" s="628"/>
      <c r="C179" s="696"/>
      <c r="D179" s="696"/>
      <c r="E179" s="696"/>
      <c r="F179" s="696"/>
      <c r="G179" s="696"/>
      <c r="H179" s="696"/>
      <c r="I179" s="696"/>
      <c r="J179" s="696"/>
      <c r="K179" s="708"/>
      <c r="L179" s="709"/>
      <c r="M179" s="709"/>
      <c r="N179" s="710"/>
      <c r="P179" s="631"/>
      <c r="Q179" s="715"/>
      <c r="R179" s="716"/>
      <c r="S179" s="176"/>
      <c r="T179" s="176"/>
    </row>
    <row r="180" spans="1:20" ht="24.95" customHeight="1" x14ac:dyDescent="0.2">
      <c r="A180" s="101">
        <v>77</v>
      </c>
      <c r="B180" s="220"/>
      <c r="C180" s="221"/>
      <c r="D180" s="221"/>
      <c r="E180" s="222"/>
      <c r="F180" s="223" t="s">
        <v>96</v>
      </c>
      <c r="G180" s="223" t="s">
        <v>96</v>
      </c>
      <c r="H180" s="265" t="str">
        <f>IF(ISERROR(DATEDIF(F180,G180,"M")+1)," ",DATEDIF(F180,G180,"M")+1)</f>
        <v xml:space="preserve"> </v>
      </c>
      <c r="I180" s="200"/>
      <c r="J180" s="224"/>
      <c r="K180" s="638"/>
      <c r="L180" s="639"/>
      <c r="M180" s="639"/>
      <c r="N180" s="640"/>
      <c r="P180" s="217" t="s">
        <v>93</v>
      </c>
      <c r="Q180" s="218"/>
      <c r="R180" s="264">
        <f>IF(Q180&gt;10000,10000,Q180)</f>
        <v>0</v>
      </c>
      <c r="S180" s="176"/>
      <c r="T180" s="176"/>
    </row>
    <row r="181" spans="1:20" ht="24.95" customHeight="1" x14ac:dyDescent="0.2">
      <c r="B181" s="220"/>
      <c r="C181" s="221"/>
      <c r="D181" s="221"/>
      <c r="E181" s="222"/>
      <c r="F181" s="223" t="s">
        <v>96</v>
      </c>
      <c r="G181" s="223" t="s">
        <v>96</v>
      </c>
      <c r="H181" s="265" t="str">
        <f>IF(ISERROR(DATEDIF(F181,G181,"M")+1)," ",DATEDIF(F181,G181,"M")+1)</f>
        <v xml:space="preserve"> </v>
      </c>
      <c r="I181" s="200"/>
      <c r="J181" s="224"/>
      <c r="K181" s="638"/>
      <c r="L181" s="639"/>
      <c r="M181" s="639"/>
      <c r="N181" s="640"/>
      <c r="R181" s="176"/>
      <c r="S181" s="176"/>
      <c r="T181" s="176"/>
    </row>
    <row r="182" spans="1:20" ht="24.95" customHeight="1" x14ac:dyDescent="0.2">
      <c r="B182" s="220"/>
      <c r="C182" s="221"/>
      <c r="D182" s="221"/>
      <c r="E182" s="222"/>
      <c r="F182" s="223" t="s">
        <v>96</v>
      </c>
      <c r="G182" s="223" t="s">
        <v>96</v>
      </c>
      <c r="H182" s="265" t="str">
        <f>IF(ISERROR(DATEDIF(F182,G182,"M")+1)," ",DATEDIF(F182,G182,"M")+1)</f>
        <v xml:space="preserve"> </v>
      </c>
      <c r="I182" s="200"/>
      <c r="J182" s="224"/>
      <c r="K182" s="638"/>
      <c r="L182" s="639"/>
      <c r="M182" s="639"/>
      <c r="N182" s="640"/>
      <c r="O182" s="19"/>
      <c r="P182" s="19"/>
      <c r="Q182" s="176"/>
      <c r="R182" s="176"/>
      <c r="S182" s="176"/>
      <c r="T182" s="176"/>
    </row>
    <row r="183" spans="1:20" ht="24.95" customHeight="1" x14ac:dyDescent="0.2">
      <c r="B183" s="220"/>
      <c r="C183" s="221"/>
      <c r="D183" s="221"/>
      <c r="E183" s="222"/>
      <c r="F183" s="223" t="s">
        <v>96</v>
      </c>
      <c r="G183" s="223" t="s">
        <v>96</v>
      </c>
      <c r="H183" s="265" t="str">
        <f>IF(ISERROR(DATEDIF(F183,G183,"M")+1)," ",DATEDIF(F183,G183,"M")+1)</f>
        <v xml:space="preserve"> </v>
      </c>
      <c r="I183" s="200"/>
      <c r="J183" s="224"/>
      <c r="K183" s="638"/>
      <c r="L183" s="639"/>
      <c r="M183" s="639"/>
      <c r="N183" s="640"/>
      <c r="R183" s="176"/>
      <c r="S183" s="176"/>
      <c r="T183" s="176"/>
    </row>
    <row r="184" spans="1:20" ht="24.95" customHeight="1" x14ac:dyDescent="0.2">
      <c r="B184" s="220"/>
      <c r="C184" s="221"/>
      <c r="D184" s="221"/>
      <c r="E184" s="222"/>
      <c r="F184" s="223" t="s">
        <v>96</v>
      </c>
      <c r="G184" s="223" t="s">
        <v>96</v>
      </c>
      <c r="H184" s="265" t="str">
        <f>IF(ISERROR(DATEDIF(F184,G184,"M")+1)," ",DATEDIF(F184,G184,"M")+1)</f>
        <v xml:space="preserve"> </v>
      </c>
      <c r="I184" s="200"/>
      <c r="J184" s="224"/>
      <c r="K184" s="638"/>
      <c r="L184" s="639"/>
      <c r="M184" s="639"/>
      <c r="N184" s="640"/>
      <c r="R184" s="176"/>
      <c r="S184" s="176"/>
      <c r="T184" s="176"/>
    </row>
    <row r="185" spans="1:20" ht="24.95" customHeight="1" x14ac:dyDescent="0.25">
      <c r="B185" s="266" t="s">
        <v>13</v>
      </c>
      <c r="C185" s="267"/>
      <c r="D185" s="267"/>
      <c r="E185" s="267"/>
      <c r="F185" s="260"/>
      <c r="G185" s="260"/>
      <c r="H185" s="263"/>
      <c r="I185" s="261">
        <f>SUM(I180:I184)</f>
        <v>0</v>
      </c>
      <c r="J185" s="262">
        <f>SUM(J180:J184)</f>
        <v>0</v>
      </c>
      <c r="K185" s="635"/>
      <c r="L185" s="636"/>
      <c r="M185" s="636"/>
      <c r="N185" s="637"/>
      <c r="R185" s="176"/>
      <c r="S185" s="176"/>
      <c r="T185" s="176"/>
    </row>
    <row r="187" spans="1:20" x14ac:dyDescent="0.2">
      <c r="B187" s="334"/>
      <c r="C187" s="334"/>
      <c r="D187" s="334"/>
      <c r="E187" s="334"/>
      <c r="F187" s="334"/>
      <c r="G187" s="334"/>
      <c r="H187" s="334"/>
      <c r="I187" s="49"/>
    </row>
    <row r="188" spans="1:20" ht="52.5" customHeight="1" x14ac:dyDescent="0.2"/>
    <row r="189" spans="1:20" ht="80.25" customHeight="1" x14ac:dyDescent="0.2">
      <c r="E189" s="216"/>
    </row>
    <row r="190" spans="1:20" ht="28.5" customHeight="1" x14ac:dyDescent="0.2">
      <c r="E190" s="219"/>
    </row>
    <row r="191" spans="1:20" ht="36.75" customHeight="1" x14ac:dyDescent="0.2"/>
    <row r="192" spans="1:20"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sheetData>
  <sheetProtection password="C8C7" sheet="1" objects="1" scenarios="1"/>
  <mergeCells count="160">
    <mergeCell ref="P177:P179"/>
    <mergeCell ref="Q177:Q179"/>
    <mergeCell ref="R177:R179"/>
    <mergeCell ref="AC46:AC47"/>
    <mergeCell ref="AD46:AD47"/>
    <mergeCell ref="AE46:AE47"/>
    <mergeCell ref="AA91:AE91"/>
    <mergeCell ref="AA92:AA93"/>
    <mergeCell ref="AB92:AB93"/>
    <mergeCell ref="AC92:AC93"/>
    <mergeCell ref="AD92:AD93"/>
    <mergeCell ref="AE92:AE93"/>
    <mergeCell ref="AA136:AD136"/>
    <mergeCell ref="AA137:AA138"/>
    <mergeCell ref="AB137:AB138"/>
    <mergeCell ref="AC137:AC138"/>
    <mergeCell ref="AD137:AD138"/>
    <mergeCell ref="T46:T47"/>
    <mergeCell ref="S92:S93"/>
    <mergeCell ref="B135:U135"/>
    <mergeCell ref="U137:U138"/>
    <mergeCell ref="G137:G138"/>
    <mergeCell ref="H137:H138"/>
    <mergeCell ref="R137:R138"/>
    <mergeCell ref="AA45:AE45"/>
    <mergeCell ref="AA46:AA47"/>
    <mergeCell ref="AB46:AB47"/>
    <mergeCell ref="J177:J179"/>
    <mergeCell ref="N46:N47"/>
    <mergeCell ref="O46:O47"/>
    <mergeCell ref="P46:P47"/>
    <mergeCell ref="Q46:Q47"/>
    <mergeCell ref="R46:R47"/>
    <mergeCell ref="P176:R176"/>
    <mergeCell ref="M45:M47"/>
    <mergeCell ref="J91:J93"/>
    <mergeCell ref="K91:K93"/>
    <mergeCell ref="L91:L93"/>
    <mergeCell ref="M91:M93"/>
    <mergeCell ref="N136:Q136"/>
    <mergeCell ref="J136:J138"/>
    <mergeCell ref="K136:K138"/>
    <mergeCell ref="J45:J47"/>
    <mergeCell ref="T92:T93"/>
    <mergeCell ref="N137:N138"/>
    <mergeCell ref="O137:O138"/>
    <mergeCell ref="P137:P138"/>
    <mergeCell ref="Q137:Q138"/>
    <mergeCell ref="F178:F179"/>
    <mergeCell ref="F177:G177"/>
    <mergeCell ref="G178:G179"/>
    <mergeCell ref="B177:B179"/>
    <mergeCell ref="B176:N176"/>
    <mergeCell ref="K177:N179"/>
    <mergeCell ref="E177:E179"/>
    <mergeCell ref="C177:C179"/>
    <mergeCell ref="D177:D179"/>
    <mergeCell ref="H177:H179"/>
    <mergeCell ref="I177:I179"/>
    <mergeCell ref="D23:F23"/>
    <mergeCell ref="B22:F22"/>
    <mergeCell ref="B23:C23"/>
    <mergeCell ref="D24:D26"/>
    <mergeCell ref="C24:C26"/>
    <mergeCell ref="G45:H45"/>
    <mergeCell ref="E45:E47"/>
    <mergeCell ref="H46:H47"/>
    <mergeCell ref="B91:B93"/>
    <mergeCell ref="C91:C93"/>
    <mergeCell ref="G92:G93"/>
    <mergeCell ref="H92:H93"/>
    <mergeCell ref="G46:G47"/>
    <mergeCell ref="B44:U44"/>
    <mergeCell ref="L45:L47"/>
    <mergeCell ref="I45:I47"/>
    <mergeCell ref="K45:K47"/>
    <mergeCell ref="B24:B26"/>
    <mergeCell ref="E24:E26"/>
    <mergeCell ref="F24:F26"/>
    <mergeCell ref="B45:B47"/>
    <mergeCell ref="O92:O93"/>
    <mergeCell ref="P92:P93"/>
    <mergeCell ref="R92:R93"/>
    <mergeCell ref="B15:F15"/>
    <mergeCell ref="B16:F16"/>
    <mergeCell ref="B17:F17"/>
    <mergeCell ref="B18:F18"/>
    <mergeCell ref="B19:F19"/>
    <mergeCell ref="M18:Q18"/>
    <mergeCell ref="G15:H15"/>
    <mergeCell ref="M16:Q16"/>
    <mergeCell ref="B2:C2"/>
    <mergeCell ref="B3:C3"/>
    <mergeCell ref="B4:C4"/>
    <mergeCell ref="D3:H3"/>
    <mergeCell ref="D2:H2"/>
    <mergeCell ref="B7:D7"/>
    <mergeCell ref="B8:G8"/>
    <mergeCell ref="D4:H4"/>
    <mergeCell ref="B5:C5"/>
    <mergeCell ref="D5:H5"/>
    <mergeCell ref="B12:F12"/>
    <mergeCell ref="B13:F13"/>
    <mergeCell ref="B14:F14"/>
    <mergeCell ref="G12:H12"/>
    <mergeCell ref="G13:H13"/>
    <mergeCell ref="G19:H19"/>
    <mergeCell ref="N45:R45"/>
    <mergeCell ref="S46:S47"/>
    <mergeCell ref="C45:C47"/>
    <mergeCell ref="D45:D47"/>
    <mergeCell ref="F45:F47"/>
    <mergeCell ref="D91:D93"/>
    <mergeCell ref="E91:E93"/>
    <mergeCell ref="F91:F93"/>
    <mergeCell ref="G91:H91"/>
    <mergeCell ref="I91:I93"/>
    <mergeCell ref="B90:U90"/>
    <mergeCell ref="U92:U93"/>
    <mergeCell ref="N91:R91"/>
    <mergeCell ref="N92:N93"/>
    <mergeCell ref="M13:Q13"/>
    <mergeCell ref="K185:N185"/>
    <mergeCell ref="K184:N184"/>
    <mergeCell ref="K183:N183"/>
    <mergeCell ref="K182:N182"/>
    <mergeCell ref="K181:N181"/>
    <mergeCell ref="K180:N180"/>
    <mergeCell ref="K15:K16"/>
    <mergeCell ref="L136:L138"/>
    <mergeCell ref="M136:M138"/>
    <mergeCell ref="Q92:Q93"/>
    <mergeCell ref="B43:U43"/>
    <mergeCell ref="G14:H14"/>
    <mergeCell ref="T45:U45"/>
    <mergeCell ref="U46:U47"/>
    <mergeCell ref="G16:H16"/>
    <mergeCell ref="G17:H17"/>
    <mergeCell ref="G18:H18"/>
    <mergeCell ref="B163:B165"/>
    <mergeCell ref="C163:C165"/>
    <mergeCell ref="D163:D165"/>
    <mergeCell ref="E163:E165"/>
    <mergeCell ref="F163:F165"/>
    <mergeCell ref="F149:F151"/>
    <mergeCell ref="S137:S138"/>
    <mergeCell ref="B148:F148"/>
    <mergeCell ref="B162:F162"/>
    <mergeCell ref="B145:I145"/>
    <mergeCell ref="B136:B138"/>
    <mergeCell ref="C136:C138"/>
    <mergeCell ref="D136:D138"/>
    <mergeCell ref="E136:E138"/>
    <mergeCell ref="G136:H136"/>
    <mergeCell ref="F136:F138"/>
    <mergeCell ref="I136:I138"/>
    <mergeCell ref="B149:B151"/>
    <mergeCell ref="D149:D151"/>
    <mergeCell ref="E149:E151"/>
    <mergeCell ref="C149:C151"/>
  </mergeCells>
  <phoneticPr fontId="7" type="noConversion"/>
  <conditionalFormatting sqref="G17">
    <cfRule type="cellIs" dxfId="88" priority="202" stopIfTrue="1" operator="lessThan">
      <formula>#REF!</formula>
    </cfRule>
    <cfRule type="cellIs" dxfId="87" priority="203" stopIfTrue="1" operator="greaterThanOrEqual">
      <formula>#REF!</formula>
    </cfRule>
  </conditionalFormatting>
  <conditionalFormatting sqref="I17">
    <cfRule type="expression" dxfId="86" priority="99">
      <formula>$I$17="Zu viele Personalwochenstunden verteilt"</formula>
    </cfRule>
    <cfRule type="expression" dxfId="85" priority="100">
      <formula>$I$17="Korrekt"</formula>
    </cfRule>
  </conditionalFormatting>
  <conditionalFormatting sqref="K17">
    <cfRule type="cellIs" dxfId="84" priority="94" operator="lessThan">
      <formula>0</formula>
    </cfRule>
  </conditionalFormatting>
  <conditionalFormatting sqref="Q180:R180">
    <cfRule type="expression" dxfId="83" priority="18">
      <formula>$P$180="Nein"</formula>
    </cfRule>
    <cfRule type="expression" dxfId="82" priority="214">
      <formula>$B$34="Nein"</formula>
    </cfRule>
  </conditionalFormatting>
  <conditionalFormatting sqref="T48:T87">
    <cfRule type="expression" dxfId="81" priority="217">
      <formula>D48="stellvertretende Leitung"</formula>
    </cfRule>
    <cfRule type="expression" dxfId="80" priority="218">
      <formula>D48="Leitung"</formula>
    </cfRule>
  </conditionalFormatting>
  <conditionalFormatting sqref="S48:S87 S94:S133">
    <cfRule type="expression" dxfId="79" priority="221">
      <formula>D48="stellvertretende Leitung"</formula>
    </cfRule>
    <cfRule type="expression" dxfId="78" priority="222">
      <formula>D48="Leitung"</formula>
    </cfRule>
  </conditionalFormatting>
  <conditionalFormatting sqref="R48:R87 R94:R133 R139:R144">
    <cfRule type="expression" dxfId="77" priority="225">
      <formula>D48="stellvertretende Leitung"</formula>
    </cfRule>
    <cfRule type="expression" dxfId="76" priority="226">
      <formula>D48="Leitung"</formula>
    </cfRule>
  </conditionalFormatting>
  <conditionalFormatting sqref="Q48:Q87 Q139:Q144 Q94:Q133">
    <cfRule type="expression" dxfId="75" priority="229">
      <formula>D48="stellvertretende Leitung"</formula>
    </cfRule>
    <cfRule type="expression" dxfId="74" priority="230">
      <formula>D48="Leitung"</formula>
    </cfRule>
  </conditionalFormatting>
  <conditionalFormatting sqref="P48:P87 P139:P144 P94:P133">
    <cfRule type="expression" dxfId="73" priority="233">
      <formula>D48="stellvertretende Leitung"</formula>
    </cfRule>
    <cfRule type="expression" dxfId="72" priority="234">
      <formula>D48="Leitung"</formula>
    </cfRule>
  </conditionalFormatting>
  <conditionalFormatting sqref="N94:N133 N139:N144">
    <cfRule type="expression" dxfId="71" priority="235">
      <formula>D94="stellvertretende Leitung"</formula>
    </cfRule>
    <cfRule type="expression" dxfId="70" priority="236">
      <formula>D94="Leitung"</formula>
    </cfRule>
  </conditionalFormatting>
  <conditionalFormatting sqref="D27:F27">
    <cfRule type="expression" dxfId="69" priority="92">
      <formula>SUM($D$27:$F$27)&gt;$C$27</formula>
    </cfRule>
  </conditionalFormatting>
  <conditionalFormatting sqref="D28:F28">
    <cfRule type="expression" dxfId="68" priority="88">
      <formula>SUM($D$28:$F$28)&gt;$C$28</formula>
    </cfRule>
  </conditionalFormatting>
  <conditionalFormatting sqref="D29:F29">
    <cfRule type="expression" dxfId="67" priority="87">
      <formula>SUM($D$29:$F$29)&gt;$C$29</formula>
    </cfRule>
  </conditionalFormatting>
  <conditionalFormatting sqref="D30:F30">
    <cfRule type="expression" dxfId="66" priority="86">
      <formula>SUM($D$30:$F$30)&gt;$C$30</formula>
    </cfRule>
  </conditionalFormatting>
  <conditionalFormatting sqref="D31:F31">
    <cfRule type="expression" dxfId="65" priority="77">
      <formula>SUM($D$31:$F$31)&gt;$C$31</formula>
    </cfRule>
  </conditionalFormatting>
  <conditionalFormatting sqref="D32:F32">
    <cfRule type="expression" dxfId="64" priority="76">
      <formula>SUM($D$32:$F$32)&gt;$C$32</formula>
    </cfRule>
  </conditionalFormatting>
  <conditionalFormatting sqref="D33:F33">
    <cfRule type="expression" dxfId="63" priority="75">
      <formula>SUM($D$33:$F$33)&gt;$C$33</formula>
    </cfRule>
  </conditionalFormatting>
  <conditionalFormatting sqref="D34:F34">
    <cfRule type="expression" dxfId="62" priority="74">
      <formula>SUM($D$34:$F$34)&gt;$C$34</formula>
    </cfRule>
  </conditionalFormatting>
  <conditionalFormatting sqref="D35:F35">
    <cfRule type="expression" dxfId="61" priority="73">
      <formula>SUM($D$35:$F$35)&gt;$C$35</formula>
    </cfRule>
  </conditionalFormatting>
  <conditionalFormatting sqref="D36:F36">
    <cfRule type="expression" dxfId="60" priority="72">
      <formula>SUM($D$36:$F$36)&gt;$C$36</formula>
    </cfRule>
  </conditionalFormatting>
  <conditionalFormatting sqref="D37:F37">
    <cfRule type="expression" dxfId="59" priority="71">
      <formula>SUM($D$37:$F$37)&gt;$C$37</formula>
    </cfRule>
  </conditionalFormatting>
  <conditionalFormatting sqref="D38:F38">
    <cfRule type="expression" dxfId="58" priority="70">
      <formula>SUM($D$38:$F$38)&gt;$C$38</formula>
    </cfRule>
  </conditionalFormatting>
  <conditionalFormatting sqref="D39:F39">
    <cfRule type="expression" dxfId="57" priority="69">
      <formula>SUM($D$39:$F$39)&gt;$C$39</formula>
    </cfRule>
  </conditionalFormatting>
  <conditionalFormatting sqref="G27:G39">
    <cfRule type="expression" dxfId="56" priority="67">
      <formula>G27="Zu viele Personalkosten verteilt"</formula>
    </cfRule>
    <cfRule type="expression" dxfId="55" priority="68">
      <formula>G27="Korrekt"</formula>
    </cfRule>
  </conditionalFormatting>
  <conditionalFormatting sqref="AE48:AE87">
    <cfRule type="expression" dxfId="54" priority="61">
      <formula>Q48="stellvertretende Leitung"</formula>
    </cfRule>
    <cfRule type="expression" dxfId="53" priority="62">
      <formula>Q48="Leitung"</formula>
    </cfRule>
  </conditionalFormatting>
  <conditionalFormatting sqref="AD48:AD87">
    <cfRule type="expression" dxfId="52" priority="63">
      <formula>Q48="stellvertretende Leitung"</formula>
    </cfRule>
    <cfRule type="expression" dxfId="51" priority="64">
      <formula>Q48="Leitung"</formula>
    </cfRule>
  </conditionalFormatting>
  <conditionalFormatting sqref="AC48:AC87">
    <cfRule type="expression" dxfId="50" priority="65">
      <formula>Q48="stellvertretende Leitung"</formula>
    </cfRule>
    <cfRule type="expression" dxfId="49" priority="66">
      <formula>Q48="Leitung"</formula>
    </cfRule>
  </conditionalFormatting>
  <conditionalFormatting sqref="AE94:AE133">
    <cfRule type="expression" dxfId="48" priority="33">
      <formula>Q94="stellvertretende Leitung"</formula>
    </cfRule>
    <cfRule type="expression" dxfId="47" priority="34">
      <formula>Q94="Leitung"</formula>
    </cfRule>
  </conditionalFormatting>
  <conditionalFormatting sqref="AD94:AD133">
    <cfRule type="expression" dxfId="46" priority="35">
      <formula>Q94="stellvertretende Leitung"</formula>
    </cfRule>
    <cfRule type="expression" dxfId="45" priority="36">
      <formula>Q94="Leitung"</formula>
    </cfRule>
  </conditionalFormatting>
  <conditionalFormatting sqref="AC94:AC133">
    <cfRule type="expression" dxfId="44" priority="37">
      <formula>Q94="stellvertretende Leitung"</formula>
    </cfRule>
    <cfRule type="expression" dxfId="43" priority="38">
      <formula>Q94="Leitung"</formula>
    </cfRule>
  </conditionalFormatting>
  <conditionalFormatting sqref="AD139:AD144">
    <cfRule type="expression" dxfId="42" priority="29">
      <formula>Q139="stellvertretende Leitung"</formula>
    </cfRule>
    <cfRule type="expression" dxfId="41" priority="30">
      <formula>Q139="Leitung"</formula>
    </cfRule>
  </conditionalFormatting>
  <conditionalFormatting sqref="AC139:AC144">
    <cfRule type="expression" dxfId="40" priority="31">
      <formula>Q139="stellvertretende Leitung"</formula>
    </cfRule>
    <cfRule type="expression" dxfId="39" priority="32">
      <formula>Q139="Leitung"</formula>
    </cfRule>
  </conditionalFormatting>
  <conditionalFormatting sqref="N48:N87">
    <cfRule type="expression" dxfId="38" priority="27">
      <formula>$C48:C87="stellvertretende Leitung"</formula>
    </cfRule>
    <cfRule type="expression" dxfId="37" priority="28">
      <formula>$C48:C87="Leitung"</formula>
    </cfRule>
  </conditionalFormatting>
  <conditionalFormatting sqref="O48:O87">
    <cfRule type="expression" dxfId="36" priority="22">
      <formula>$C48:C87="stellvertretende Leitung"</formula>
    </cfRule>
    <cfRule type="expression" dxfId="35" priority="26">
      <formula>$C48:C87="Leitung"</formula>
    </cfRule>
  </conditionalFormatting>
  <conditionalFormatting sqref="P48:P87">
    <cfRule type="expression" dxfId="34" priority="21">
      <formula>$C48:C87="stellvertretende Leitung"</formula>
    </cfRule>
    <cfRule type="expression" dxfId="33" priority="25">
      <formula>$C48:C87="Leitung"</formula>
    </cfRule>
  </conditionalFormatting>
  <conditionalFormatting sqref="Q48:Q87">
    <cfRule type="expression" dxfId="32" priority="20">
      <formula>$C48:C87="stellvertretende Leitung"</formula>
    </cfRule>
    <cfRule type="expression" dxfId="31" priority="24">
      <formula>$C48:C87="Leitung"</formula>
    </cfRule>
  </conditionalFormatting>
  <conditionalFormatting sqref="R48:R87">
    <cfRule type="expression" dxfId="30" priority="19">
      <formula>$C48:C87="stellvertretende Leitung"</formula>
    </cfRule>
    <cfRule type="expression" dxfId="29" priority="23">
      <formula>$C48:C87="Leitung"</formula>
    </cfRule>
  </conditionalFormatting>
  <conditionalFormatting sqref="AE134">
    <cfRule type="expression" dxfId="28" priority="14">
      <formula>Q134="stellvertretende Leitung"</formula>
    </cfRule>
    <cfRule type="expression" dxfId="27" priority="15">
      <formula>Q134="Leitung"</formula>
    </cfRule>
  </conditionalFormatting>
  <conditionalFormatting sqref="AA134:AD134">
    <cfRule type="expression" dxfId="26" priority="16">
      <formula>Q134="stellvertretende Leitung"</formula>
    </cfRule>
    <cfRule type="expression" dxfId="25" priority="17">
      <formula>Q134="Leitung"</formula>
    </cfRule>
  </conditionalFormatting>
  <conditionalFormatting sqref="AA148:AE148">
    <cfRule type="expression" dxfId="24" priority="3">
      <formula>N148="stellvertretende Leitung"</formula>
    </cfRule>
    <cfRule type="expression" dxfId="23" priority="4">
      <formula>N148="Leitung"</formula>
    </cfRule>
  </conditionalFormatting>
  <dataValidations count="5">
    <dataValidation operator="equal" allowBlank="1" showErrorMessage="1" sqref="C180:D184 E94:E134 E139:E144 E48:E87"/>
    <dataValidation operator="equal" allowBlank="1" sqref="D27:F39 N94:S134 N139:R144 AA148:AE148"/>
    <dataValidation type="whole" allowBlank="1" showInputMessage="1" showErrorMessage="1" error="Bitte nur Zahlen zwischen 1 und 8_x000a_eintragen." sqref="D152:D158">
      <formula1>1</formula1>
      <formula2>8</formula2>
    </dataValidation>
    <dataValidation allowBlank="1" showInputMessage="1" showErrorMessage="1" error="Bitte nur Zahlen zwischen 1 und 12_x000a_eintragen." sqref="E152:E158 E166:E172"/>
    <dataValidation type="whole" allowBlank="1" showInputMessage="1" showErrorMessage="1" error="Bitte nur Zahlen zwischen 1 und 4_x000a_eintragen." sqref="D166:D172">
      <formula1>1</formula1>
      <formula2>4</formula2>
    </dataValidation>
  </dataValidations>
  <pageMargins left="0.31496062992125984" right="0.23622047244094491" top="1.2598425196850394" bottom="0.74803149606299213" header="0.31496062992125984" footer="0.31496062992125984"/>
  <pageSetup paperSize="9" scale="34" firstPageNumber="0" fitToWidth="6" fitToHeight="6" orientation="landscape" r:id="rId1"/>
  <headerFooter>
    <oddHeader>&amp;R&amp;G</oddHeader>
    <oddFooter>&amp;LStand: 30.06.2020&amp;CMFF-Endabrechnung 2019
&amp;A
&amp;P&amp;R&amp;G</oddFooter>
  </headerFooter>
  <rowBreaks count="3" manualBreakCount="3">
    <brk id="40" min="1" max="20" man="1"/>
    <brk id="87" min="1" max="20" man="1"/>
    <brk id="134" min="1" max="20"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40" id="{3DDD8E7F-6D00-4C95-9B31-4475FE341173}">
            <xm:f>Grunddaten_Antrag!$E$36="Ja"</xm:f>
            <x14:dxf>
              <fill>
                <patternFill>
                  <bgColor theme="1" tint="0.14996795556505021"/>
                </patternFill>
              </fill>
            </x14:dxf>
          </x14:cfRule>
          <xm:sqref>B13:H14</xm:sqref>
        </x14:conditionalFormatting>
        <x14:conditionalFormatting xmlns:xm="http://schemas.microsoft.com/office/excel/2006/main">
          <x14:cfRule type="expression" priority="114" id="{D1AF3771-6D61-4597-ADDF-8615EC9996F3}">
            <xm:f>Grunddaten_Antrag!$E$36="----------------"</xm:f>
            <x14:dxf>
              <fill>
                <patternFill>
                  <bgColor theme="1" tint="0.14996795556505021"/>
                </patternFill>
              </fill>
            </x14:dxf>
          </x14:cfRule>
          <x14:cfRule type="expression" priority="139" id="{C24E88F8-7801-4DC1-8970-52ED9BBC3298}">
            <xm:f>Grunddaten_Antrag!$E$36="Nein"</xm:f>
            <x14:dxf>
              <fill>
                <patternFill>
                  <bgColor theme="1" tint="0.14996795556505021"/>
                </patternFill>
              </fill>
            </x14:dxf>
          </x14:cfRule>
          <xm:sqref>B15:H16</xm:sqref>
        </x14:conditionalFormatting>
      </x14:conditionalFormattings>
    </ext>
    <ext xmlns:x14="http://schemas.microsoft.com/office/spreadsheetml/2009/9/main" uri="{CCE6A557-97BC-4b89-ADB6-D9C93CAAB3DF}">
      <x14:dataValidations xmlns:xm="http://schemas.microsoft.com/office/excel/2006/main" count="11">
        <x14:dataValidation type="list" operator="equal" allowBlank="1">
          <x14:formula1>
            <xm:f>Tabelle2!$J$13:$J$25</xm:f>
          </x14:formula1>
          <xm:sqref>G94:G134 G139:G144 F180:F184 G48:G87</xm:sqref>
        </x14:dataValidation>
        <x14:dataValidation type="list" operator="equal" allowBlank="1">
          <x14:formula1>
            <xm:f>Tabelle2!$K$13:$K$25</xm:f>
          </x14:formula1>
          <xm:sqref>H94:H134 H139:H144 G180:G184 H48:H87</xm:sqref>
        </x14:dataValidation>
        <x14:dataValidation type="list" operator="equal" allowBlank="1" showErrorMessage="1">
          <x14:formula1>
            <xm:f>Tabelle2!$O$13:$O$19</xm:f>
          </x14:formula1>
          <xm:sqref>D48:D87</xm:sqref>
        </x14:dataValidation>
        <x14:dataValidation type="list" operator="equal" allowBlank="1" showErrorMessage="1">
          <x14:formula1>
            <xm:f>Tabelle2!$Q$13:$Q$24</xm:f>
          </x14:formula1>
          <xm:sqref>C48:C87</xm:sqref>
        </x14:dataValidation>
        <x14:dataValidation type="list" operator="equal" allowBlank="1" showErrorMessage="1">
          <x14:formula1>
            <xm:f>Tabelle2!$O$13:$O$21</xm:f>
          </x14:formula1>
          <xm:sqref>D94:D134</xm:sqref>
        </x14:dataValidation>
        <x14:dataValidation type="list" operator="equal" allowBlank="1" showErrorMessage="1">
          <x14:formula1>
            <xm:f>Tabelle2!$Q$27:$Q$31</xm:f>
          </x14:formula1>
          <xm:sqref>C95:C134</xm:sqref>
        </x14:dataValidation>
        <x14:dataValidation type="list" operator="equal" allowBlank="1" showErrorMessage="1">
          <x14:formula1>
            <xm:f>Tabelle2!$Q$27:$Q$29</xm:f>
          </x14:formula1>
          <xm:sqref>C94</xm:sqref>
        </x14:dataValidation>
        <x14:dataValidation type="list" operator="equal" allowBlank="1" showErrorMessage="1">
          <x14:formula1>
            <xm:f>Tabelle2!$K$29:$K$31</xm:f>
          </x14:formula1>
          <xm:sqref>D139:D144</xm:sqref>
        </x14:dataValidation>
        <x14:dataValidation type="list" allowBlank="1" showInputMessage="1" showErrorMessage="1">
          <x14:formula1>
            <xm:f>Tabelle2!$A$4:$A$5</xm:f>
          </x14:formula1>
          <xm:sqref>P180</xm:sqref>
        </x14:dataValidation>
        <x14:dataValidation type="list" operator="equal" allowBlank="1" showErrorMessage="1">
          <x14:formula1>
            <xm:f>Tabelle2!$Q$34:$Q$36</xm:f>
          </x14:formula1>
          <xm:sqref>C139:C144</xm:sqref>
        </x14:dataValidation>
        <x14:dataValidation type="list" allowBlank="1" showInputMessage="1" showErrorMessage="1">
          <x14:formula1>
            <xm:f>Tabelle2!$S$27:$S$32</xm:f>
          </x14:formula1>
          <xm:sqref>C166:C172 C152:C158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activeCell="E48" sqref="E48"/>
    </sheetView>
  </sheetViews>
  <sheetFormatPr baseColWidth="10" defaultRowHeight="12.75" x14ac:dyDescent="0.2"/>
  <cols>
    <col min="1" max="1" width="4" style="462" customWidth="1"/>
    <col min="2" max="2" width="13.140625" customWidth="1"/>
    <col min="3" max="3" width="15" customWidth="1"/>
    <col min="4" max="4" width="10.28515625" customWidth="1"/>
    <col min="5" max="5" width="12.42578125" customWidth="1"/>
    <col min="6" max="6" width="9.42578125" customWidth="1"/>
    <col min="7" max="7" width="26.7109375" customWidth="1"/>
    <col min="8" max="9" width="20.5703125" customWidth="1"/>
    <col min="10" max="10" width="15.5703125" customWidth="1"/>
    <col min="11" max="11" width="20.28515625" customWidth="1"/>
    <col min="12" max="12" width="20" customWidth="1"/>
    <col min="13" max="15" width="18.28515625" hidden="1" customWidth="1"/>
    <col min="16" max="16" width="23.42578125" hidden="1" customWidth="1"/>
    <col min="17" max="17" width="17" hidden="1" customWidth="1"/>
    <col min="18" max="18" width="11.42578125" hidden="1" customWidth="1"/>
  </cols>
  <sheetData>
    <row r="1" spans="1:18" ht="20.100000000000001" customHeight="1" x14ac:dyDescent="0.2">
      <c r="B1" s="738" t="s">
        <v>26</v>
      </c>
      <c r="C1" s="739"/>
      <c r="D1" s="744">
        <f>Grunddaten_Antrag!E14</f>
        <v>0</v>
      </c>
      <c r="E1" s="745"/>
      <c r="F1" s="745"/>
      <c r="G1" s="745"/>
      <c r="H1" s="745"/>
      <c r="I1" s="746"/>
      <c r="J1" s="51"/>
      <c r="K1" s="51"/>
      <c r="L1" s="51"/>
      <c r="M1" s="51"/>
      <c r="N1" s="51"/>
      <c r="O1" s="51"/>
      <c r="P1" s="51"/>
    </row>
    <row r="2" spans="1:18" ht="20.100000000000001" customHeight="1" x14ac:dyDescent="0.2">
      <c r="B2" s="740" t="s">
        <v>27</v>
      </c>
      <c r="C2" s="741"/>
      <c r="D2" s="747">
        <f>Grunddaten_Antrag!E22</f>
        <v>0</v>
      </c>
      <c r="E2" s="748"/>
      <c r="F2" s="748"/>
      <c r="G2" s="748"/>
      <c r="H2" s="748"/>
      <c r="I2" s="749"/>
      <c r="J2" s="51"/>
      <c r="K2" s="51"/>
      <c r="L2" s="51"/>
      <c r="M2" s="51"/>
      <c r="N2" s="51"/>
      <c r="O2" s="51"/>
      <c r="P2" s="51"/>
    </row>
    <row r="3" spans="1:18" ht="20.100000000000001" customHeight="1" thickBot="1" x14ac:dyDescent="0.25">
      <c r="B3" s="742" t="s">
        <v>28</v>
      </c>
      <c r="C3" s="743"/>
      <c r="D3" s="750">
        <f>Grunddaten_Antrag!E24</f>
        <v>0</v>
      </c>
      <c r="E3" s="751"/>
      <c r="F3" s="751"/>
      <c r="G3" s="751"/>
      <c r="H3" s="751"/>
      <c r="I3" s="752"/>
      <c r="J3" s="51"/>
      <c r="K3" s="51"/>
      <c r="L3" s="51"/>
      <c r="M3" s="51"/>
      <c r="N3" s="51"/>
      <c r="O3" s="51"/>
      <c r="P3" s="51"/>
    </row>
    <row r="4" spans="1:18" x14ac:dyDescent="0.2">
      <c r="B4" s="214"/>
      <c r="C4" s="214"/>
      <c r="D4" s="226"/>
      <c r="E4" s="226"/>
      <c r="F4" s="226"/>
      <c r="G4" s="214"/>
      <c r="H4" s="214"/>
      <c r="I4" s="214"/>
      <c r="J4" s="226"/>
      <c r="K4" s="214"/>
      <c r="L4" s="214"/>
      <c r="M4" s="214"/>
      <c r="N4" s="288"/>
      <c r="O4" s="288"/>
      <c r="P4" s="288"/>
      <c r="Q4" s="2"/>
    </row>
    <row r="5" spans="1:18" ht="15.75" x14ac:dyDescent="0.25">
      <c r="B5" s="729" t="str">
        <f>Grunddaten_Antrag!B9</f>
        <v>Münchner Förderformel (MFF);</v>
      </c>
      <c r="C5" s="729"/>
      <c r="D5" s="729"/>
      <c r="E5" s="729"/>
      <c r="F5" s="729"/>
      <c r="G5" s="729"/>
      <c r="H5" s="729"/>
      <c r="I5" s="212"/>
      <c r="J5" s="225"/>
      <c r="K5" s="214"/>
      <c r="L5" s="214"/>
      <c r="M5" s="214"/>
      <c r="N5" s="288"/>
      <c r="O5" s="288"/>
      <c r="P5" s="288"/>
      <c r="Q5" s="2"/>
    </row>
    <row r="6" spans="1:18" ht="15.75" x14ac:dyDescent="0.25">
      <c r="B6" s="212" t="str">
        <f>Grunddaten_Antrag!B10</f>
        <v>Endabrechnung auf Leistungen für den Bewilligungszeitraum (BWZ) 1. Januar - 31. Dezember 2019</v>
      </c>
      <c r="C6" s="51"/>
      <c r="D6" s="51"/>
      <c r="E6" s="51"/>
      <c r="F6" s="51"/>
      <c r="G6" s="214"/>
      <c r="H6" s="214"/>
      <c r="I6" s="214"/>
      <c r="J6" s="226"/>
      <c r="K6" s="214"/>
      <c r="L6" s="214"/>
      <c r="M6" s="214"/>
      <c r="N6" s="288"/>
      <c r="O6" s="288"/>
      <c r="P6" s="288"/>
      <c r="Q6" s="2"/>
    </row>
    <row r="7" spans="1:18" x14ac:dyDescent="0.2">
      <c r="B7" s="214"/>
      <c r="C7" s="214"/>
      <c r="D7" s="226"/>
      <c r="E7" s="226"/>
      <c r="F7" s="226"/>
      <c r="G7" s="214"/>
      <c r="H7" s="214"/>
      <c r="I7" s="214"/>
      <c r="J7" s="226"/>
      <c r="K7" s="214"/>
      <c r="L7" s="214"/>
      <c r="M7" s="214"/>
      <c r="N7" s="288"/>
      <c r="O7" s="288"/>
      <c r="P7" s="288"/>
      <c r="Q7" s="2"/>
    </row>
    <row r="8" spans="1:18" ht="13.5" thickBot="1" x14ac:dyDescent="0.25">
      <c r="B8" s="214"/>
      <c r="C8" s="214"/>
      <c r="D8" s="226"/>
      <c r="E8" s="226"/>
      <c r="F8" s="226"/>
      <c r="G8" s="214"/>
      <c r="H8" s="214"/>
      <c r="I8" s="214"/>
      <c r="J8" s="226"/>
      <c r="K8" s="214"/>
      <c r="L8" s="214"/>
      <c r="M8" s="214"/>
      <c r="N8" s="288"/>
      <c r="O8" s="288"/>
      <c r="P8" s="288"/>
      <c r="Q8" s="2"/>
    </row>
    <row r="9" spans="1:18" ht="15.75" customHeight="1" x14ac:dyDescent="0.25">
      <c r="A9" s="462">
        <v>79</v>
      </c>
      <c r="B9" s="734" t="s">
        <v>503</v>
      </c>
      <c r="C9" s="735"/>
      <c r="D9" s="735"/>
      <c r="E9" s="735"/>
      <c r="F9" s="735"/>
      <c r="G9" s="735"/>
      <c r="H9" s="735"/>
      <c r="I9" s="735"/>
      <c r="J9" s="735"/>
      <c r="K9" s="736"/>
    </row>
    <row r="10" spans="1:18" ht="12.75" customHeight="1" x14ac:dyDescent="0.2">
      <c r="A10" s="462">
        <v>80</v>
      </c>
      <c r="B10" s="732" t="s">
        <v>6</v>
      </c>
      <c r="C10" s="733" t="s">
        <v>258</v>
      </c>
      <c r="D10" s="733" t="s">
        <v>8</v>
      </c>
      <c r="E10" s="733" t="s">
        <v>337</v>
      </c>
      <c r="F10" s="733" t="s">
        <v>400</v>
      </c>
      <c r="G10" s="730" t="s">
        <v>404</v>
      </c>
      <c r="H10" s="731" t="s">
        <v>266</v>
      </c>
      <c r="I10" s="733" t="s">
        <v>405</v>
      </c>
      <c r="J10" s="733" t="s">
        <v>406</v>
      </c>
      <c r="K10" s="737" t="s">
        <v>263</v>
      </c>
    </row>
    <row r="11" spans="1:18" ht="25.5" customHeight="1" x14ac:dyDescent="0.2">
      <c r="B11" s="732"/>
      <c r="C11" s="733"/>
      <c r="D11" s="733"/>
      <c r="E11" s="733"/>
      <c r="F11" s="733"/>
      <c r="G11" s="730" t="s">
        <v>11</v>
      </c>
      <c r="H11" s="731"/>
      <c r="I11" s="733"/>
      <c r="J11" s="733"/>
      <c r="K11" s="737"/>
    </row>
    <row r="12" spans="1:18" ht="148.5" customHeight="1" x14ac:dyDescent="0.2">
      <c r="B12" s="732"/>
      <c r="C12" s="733"/>
      <c r="D12" s="733"/>
      <c r="E12" s="733"/>
      <c r="F12" s="733"/>
      <c r="G12" s="730"/>
      <c r="H12" s="731"/>
      <c r="I12" s="733"/>
      <c r="J12" s="733"/>
      <c r="K12" s="737"/>
      <c r="L12" s="227"/>
      <c r="M12" t="s">
        <v>338</v>
      </c>
      <c r="N12" t="s">
        <v>340</v>
      </c>
      <c r="O12" t="s">
        <v>339</v>
      </c>
      <c r="P12" t="s">
        <v>341</v>
      </c>
    </row>
    <row r="13" spans="1:18" ht="24.95" customHeight="1" x14ac:dyDescent="0.2">
      <c r="A13" s="462">
        <v>81</v>
      </c>
      <c r="B13" s="339">
        <f>Personal!B48</f>
        <v>0</v>
      </c>
      <c r="C13" s="340">
        <f>Personal!E48</f>
        <v>0</v>
      </c>
      <c r="D13" s="341" t="str">
        <f>Personal!I48</f>
        <v xml:space="preserve"> </v>
      </c>
      <c r="E13" s="342">
        <f>Personal!J48</f>
        <v>0</v>
      </c>
      <c r="F13" s="342">
        <f>Grunddaten_Antrag!$E$50</f>
        <v>0</v>
      </c>
      <c r="G13" s="475"/>
      <c r="H13" s="475"/>
      <c r="I13" s="296">
        <f>IF(Grunddaten_Antrag!$E$56="Ja",(G13+H13)/100*20.678,0)</f>
        <v>0</v>
      </c>
      <c r="J13" s="301"/>
      <c r="K13" s="309">
        <f>IFERROR(IF(Grunddaten_Antrag!$E$56="ja",Q13/R13,J13/R13),0)</f>
        <v>0</v>
      </c>
      <c r="M13" s="298">
        <f>SUM(G13+H13+I13)</f>
        <v>0</v>
      </c>
      <c r="N13" s="298">
        <f>SUM(G13+I13)</f>
        <v>0</v>
      </c>
      <c r="O13" s="298">
        <f>SUM(G13+H13+J13)</f>
        <v>0</v>
      </c>
      <c r="P13" s="298">
        <f>SUM(G13+J13)</f>
        <v>0</v>
      </c>
      <c r="Q13" s="297">
        <f>IF(Grunddaten_Antrag!$E$56="Ja",(G13+H13)/100*20.678,0)</f>
        <v>0</v>
      </c>
      <c r="R13" s="41">
        <f>G13+H13</f>
        <v>0</v>
      </c>
    </row>
    <row r="14" spans="1:18" ht="24.95" customHeight="1" x14ac:dyDescent="0.2">
      <c r="B14" s="339">
        <f>Personal!B49</f>
        <v>0</v>
      </c>
      <c r="C14" s="340">
        <f>Personal!E49</f>
        <v>0</v>
      </c>
      <c r="D14" s="341" t="str">
        <f>Personal!I49</f>
        <v xml:space="preserve"> </v>
      </c>
      <c r="E14" s="342">
        <f>Personal!J49</f>
        <v>0</v>
      </c>
      <c r="F14" s="342">
        <f>Grunddaten_Antrag!$E$50</f>
        <v>0</v>
      </c>
      <c r="G14" s="475"/>
      <c r="H14" s="475"/>
      <c r="I14" s="296">
        <f>IF(Grunddaten_Antrag!$E$56="Ja",(G14+H14)/100*20.678,0)</f>
        <v>0</v>
      </c>
      <c r="J14" s="301"/>
      <c r="K14" s="309">
        <f>IFERROR(IF(Grunddaten_Antrag!$E$56="ja",Q14/R14,J14/R14),0)</f>
        <v>0</v>
      </c>
      <c r="M14" s="298">
        <f t="shared" ref="M14:M51" si="0">SUM(G14+H14+I14)</f>
        <v>0</v>
      </c>
      <c r="N14" s="298">
        <f t="shared" ref="N14:N52" si="1">SUM(G14+I14)</f>
        <v>0</v>
      </c>
      <c r="O14" s="298">
        <f t="shared" ref="O14:O52" si="2">SUM(G14+H14+J14)</f>
        <v>0</v>
      </c>
      <c r="P14" s="298">
        <f t="shared" ref="P14:P52" si="3">SUM(G14+J14)</f>
        <v>0</v>
      </c>
      <c r="Q14" s="297">
        <f>IF(Grunddaten_Antrag!$E$56="Ja",(G14+H14)/100*20.678,0)</f>
        <v>0</v>
      </c>
      <c r="R14" s="41">
        <f t="shared" ref="R14:R52" si="4">G14+H14</f>
        <v>0</v>
      </c>
    </row>
    <row r="15" spans="1:18" ht="24.95" customHeight="1" x14ac:dyDescent="0.2">
      <c r="B15" s="339">
        <f>Personal!B50</f>
        <v>0</v>
      </c>
      <c r="C15" s="340">
        <f>Personal!E50</f>
        <v>0</v>
      </c>
      <c r="D15" s="341" t="str">
        <f>Personal!I50</f>
        <v xml:space="preserve"> </v>
      </c>
      <c r="E15" s="342">
        <f>Personal!J50</f>
        <v>0</v>
      </c>
      <c r="F15" s="342">
        <f>Grunddaten_Antrag!$E$50</f>
        <v>0</v>
      </c>
      <c r="G15" s="475"/>
      <c r="H15" s="475"/>
      <c r="I15" s="296">
        <f>IF(Grunddaten_Antrag!$E$56="Ja",(G15+H15)/100*20.678,0)</f>
        <v>0</v>
      </c>
      <c r="J15" s="301"/>
      <c r="K15" s="309">
        <f>IFERROR(IF(Grunddaten_Antrag!$E$56="ja",Q15/R15,J15/R15),0)</f>
        <v>0</v>
      </c>
      <c r="M15" s="298">
        <f t="shared" si="0"/>
        <v>0</v>
      </c>
      <c r="N15" s="298">
        <f t="shared" si="1"/>
        <v>0</v>
      </c>
      <c r="O15" s="298">
        <f t="shared" si="2"/>
        <v>0</v>
      </c>
      <c r="P15" s="298">
        <f t="shared" si="3"/>
        <v>0</v>
      </c>
      <c r="Q15" s="297">
        <f>IF(Grunddaten_Antrag!$E$56="Ja",(G15+H15)/100*20.678,0)</f>
        <v>0</v>
      </c>
      <c r="R15" s="41">
        <f t="shared" si="4"/>
        <v>0</v>
      </c>
    </row>
    <row r="16" spans="1:18" ht="24.95" customHeight="1" x14ac:dyDescent="0.2">
      <c r="B16" s="339">
        <f>Personal!B51</f>
        <v>0</v>
      </c>
      <c r="C16" s="340">
        <f>Personal!E51</f>
        <v>0</v>
      </c>
      <c r="D16" s="341" t="str">
        <f>Personal!I51</f>
        <v xml:space="preserve"> </v>
      </c>
      <c r="E16" s="342">
        <f>Personal!J51</f>
        <v>0</v>
      </c>
      <c r="F16" s="342">
        <f>Grunddaten_Antrag!$E$50</f>
        <v>0</v>
      </c>
      <c r="G16" s="475"/>
      <c r="H16" s="475"/>
      <c r="I16" s="296">
        <f>IF(Grunddaten_Antrag!$E$56="Ja",(G16+H16)/100*20.678,0)</f>
        <v>0</v>
      </c>
      <c r="J16" s="301"/>
      <c r="K16" s="309">
        <f>IFERROR(IF(Grunddaten_Antrag!$E$56="ja",Q16/R16,J16/R16),0)</f>
        <v>0</v>
      </c>
      <c r="M16" s="298">
        <f t="shared" si="0"/>
        <v>0</v>
      </c>
      <c r="N16" s="298">
        <f t="shared" si="1"/>
        <v>0</v>
      </c>
      <c r="O16" s="298">
        <f t="shared" si="2"/>
        <v>0</v>
      </c>
      <c r="P16" s="298">
        <f t="shared" si="3"/>
        <v>0</v>
      </c>
      <c r="Q16" s="297">
        <f>IF(Grunddaten_Antrag!$E$56="Ja",(G16+H16)/100*20.678,0)</f>
        <v>0</v>
      </c>
      <c r="R16" s="41">
        <f t="shared" si="4"/>
        <v>0</v>
      </c>
    </row>
    <row r="17" spans="2:18" ht="24.95" customHeight="1" x14ac:dyDescent="0.2">
      <c r="B17" s="339">
        <f>Personal!B52</f>
        <v>0</v>
      </c>
      <c r="C17" s="340">
        <f>Personal!E52</f>
        <v>0</v>
      </c>
      <c r="D17" s="341" t="str">
        <f>Personal!I52</f>
        <v xml:space="preserve"> </v>
      </c>
      <c r="E17" s="342">
        <f>Personal!J52</f>
        <v>0</v>
      </c>
      <c r="F17" s="342">
        <f>Grunddaten_Antrag!$E$50</f>
        <v>0</v>
      </c>
      <c r="G17" s="475"/>
      <c r="H17" s="475"/>
      <c r="I17" s="296">
        <f>IF(Grunddaten_Antrag!$E$56="Ja",(G17+H17)/100*20.678,0)</f>
        <v>0</v>
      </c>
      <c r="J17" s="301"/>
      <c r="K17" s="309">
        <f>IFERROR(IF(Grunddaten_Antrag!$E$56="ja",Q17/R17,J17/R17),0)</f>
        <v>0</v>
      </c>
      <c r="M17" s="298">
        <f t="shared" si="0"/>
        <v>0</v>
      </c>
      <c r="N17" s="298">
        <f t="shared" si="1"/>
        <v>0</v>
      </c>
      <c r="O17" s="298">
        <f t="shared" si="2"/>
        <v>0</v>
      </c>
      <c r="P17" s="298">
        <f t="shared" si="3"/>
        <v>0</v>
      </c>
      <c r="Q17" s="297">
        <f>IF(Grunddaten_Antrag!$E$56="Ja",(G17+H17)/100*20.678,0)</f>
        <v>0</v>
      </c>
      <c r="R17" s="41">
        <f t="shared" si="4"/>
        <v>0</v>
      </c>
    </row>
    <row r="18" spans="2:18" ht="24.95" customHeight="1" x14ac:dyDescent="0.2">
      <c r="B18" s="339">
        <f>Personal!B53</f>
        <v>0</v>
      </c>
      <c r="C18" s="340">
        <f>Personal!E53</f>
        <v>0</v>
      </c>
      <c r="D18" s="341" t="str">
        <f>Personal!I53</f>
        <v xml:space="preserve"> </v>
      </c>
      <c r="E18" s="342">
        <f>Personal!J53</f>
        <v>0</v>
      </c>
      <c r="F18" s="342">
        <f>Grunddaten_Antrag!$E$50</f>
        <v>0</v>
      </c>
      <c r="G18" s="475"/>
      <c r="H18" s="475"/>
      <c r="I18" s="296">
        <f>IF(Grunddaten_Antrag!$E$56="Ja",(G18+H18)/100*20.678,0)</f>
        <v>0</v>
      </c>
      <c r="J18" s="301"/>
      <c r="K18" s="309">
        <f>IFERROR(IF(Grunddaten_Antrag!$E$56="ja",Q18/R18,J18/R18),0)</f>
        <v>0</v>
      </c>
      <c r="M18" s="298">
        <f t="shared" si="0"/>
        <v>0</v>
      </c>
      <c r="N18" s="298">
        <f t="shared" si="1"/>
        <v>0</v>
      </c>
      <c r="O18" s="298">
        <f t="shared" si="2"/>
        <v>0</v>
      </c>
      <c r="P18" s="298">
        <f t="shared" si="3"/>
        <v>0</v>
      </c>
      <c r="Q18" s="297">
        <f>IF(Grunddaten_Antrag!$E$56="Ja",(G18+H18)/100*20.678,0)</f>
        <v>0</v>
      </c>
      <c r="R18" s="41">
        <f t="shared" si="4"/>
        <v>0</v>
      </c>
    </row>
    <row r="19" spans="2:18" ht="24.95" customHeight="1" x14ac:dyDescent="0.2">
      <c r="B19" s="339">
        <f>Personal!B54</f>
        <v>0</v>
      </c>
      <c r="C19" s="340">
        <f>Personal!E54</f>
        <v>0</v>
      </c>
      <c r="D19" s="341" t="str">
        <f>Personal!I54</f>
        <v xml:space="preserve"> </v>
      </c>
      <c r="E19" s="342">
        <f>Personal!J54</f>
        <v>0</v>
      </c>
      <c r="F19" s="342">
        <f>Grunddaten_Antrag!$E$50</f>
        <v>0</v>
      </c>
      <c r="G19" s="475"/>
      <c r="H19" s="475"/>
      <c r="I19" s="296">
        <f>IF(Grunddaten_Antrag!$E$56="Ja",(G19+H19)/100*20.678,0)</f>
        <v>0</v>
      </c>
      <c r="J19" s="301"/>
      <c r="K19" s="309">
        <f>IFERROR(IF(Grunddaten_Antrag!$E$56="ja",Q19/R19,J19/R19),0)</f>
        <v>0</v>
      </c>
      <c r="M19" s="298">
        <f t="shared" si="0"/>
        <v>0</v>
      </c>
      <c r="N19" s="298">
        <f t="shared" si="1"/>
        <v>0</v>
      </c>
      <c r="O19" s="298">
        <f t="shared" si="2"/>
        <v>0</v>
      </c>
      <c r="P19" s="298">
        <f t="shared" si="3"/>
        <v>0</v>
      </c>
      <c r="Q19" s="297">
        <f>IF(Grunddaten_Antrag!$E$56="Ja",(G19+H19)/100*20.678,0)</f>
        <v>0</v>
      </c>
      <c r="R19" s="41">
        <f t="shared" si="4"/>
        <v>0</v>
      </c>
    </row>
    <row r="20" spans="2:18" ht="24.95" customHeight="1" x14ac:dyDescent="0.2">
      <c r="B20" s="339">
        <f>Personal!B55</f>
        <v>0</v>
      </c>
      <c r="C20" s="340">
        <f>Personal!E55</f>
        <v>0</v>
      </c>
      <c r="D20" s="341" t="str">
        <f>Personal!I55</f>
        <v xml:space="preserve"> </v>
      </c>
      <c r="E20" s="342">
        <f>Personal!J55</f>
        <v>0</v>
      </c>
      <c r="F20" s="342">
        <f>Grunddaten_Antrag!$E$50</f>
        <v>0</v>
      </c>
      <c r="G20" s="475"/>
      <c r="H20" s="475"/>
      <c r="I20" s="296">
        <f>IF(Grunddaten_Antrag!$E$56="Ja",(G20+H20)/100*20.678,0)</f>
        <v>0</v>
      </c>
      <c r="J20" s="301"/>
      <c r="K20" s="309">
        <f>IFERROR(IF(Grunddaten_Antrag!$E$56="ja",Q20/R20,J20/R20),0)</f>
        <v>0</v>
      </c>
      <c r="M20" s="298">
        <f t="shared" si="0"/>
        <v>0</v>
      </c>
      <c r="N20" s="298">
        <f t="shared" si="1"/>
        <v>0</v>
      </c>
      <c r="O20" s="298">
        <f t="shared" si="2"/>
        <v>0</v>
      </c>
      <c r="P20" s="298">
        <f t="shared" si="3"/>
        <v>0</v>
      </c>
      <c r="Q20" s="297">
        <f>IF(Grunddaten_Antrag!$E$56="Ja",(G20+H20)/100*20.678,0)</f>
        <v>0</v>
      </c>
      <c r="R20" s="41">
        <f t="shared" si="4"/>
        <v>0</v>
      </c>
    </row>
    <row r="21" spans="2:18" ht="24.95" customHeight="1" x14ac:dyDescent="0.2">
      <c r="B21" s="339">
        <f>Personal!B56</f>
        <v>0</v>
      </c>
      <c r="C21" s="340">
        <f>Personal!E56</f>
        <v>0</v>
      </c>
      <c r="D21" s="341" t="str">
        <f>Personal!I56</f>
        <v xml:space="preserve"> </v>
      </c>
      <c r="E21" s="342">
        <f>Personal!J56</f>
        <v>0</v>
      </c>
      <c r="F21" s="342">
        <f>Grunddaten_Antrag!$E$50</f>
        <v>0</v>
      </c>
      <c r="G21" s="475"/>
      <c r="H21" s="475"/>
      <c r="I21" s="296">
        <f>IF(Grunddaten_Antrag!$E$56="Ja",(G21+H21)/100*20.678,0)</f>
        <v>0</v>
      </c>
      <c r="J21" s="301"/>
      <c r="K21" s="309">
        <f>IFERROR(IF(Grunddaten_Antrag!$E$56="ja",Q21/R21,J21/R21),0)</f>
        <v>0</v>
      </c>
      <c r="M21" s="298">
        <f t="shared" si="0"/>
        <v>0</v>
      </c>
      <c r="N21" s="298">
        <f t="shared" si="1"/>
        <v>0</v>
      </c>
      <c r="O21" s="298">
        <f t="shared" si="2"/>
        <v>0</v>
      </c>
      <c r="P21" s="298">
        <f t="shared" si="3"/>
        <v>0</v>
      </c>
      <c r="Q21" s="297">
        <f>IF(Grunddaten_Antrag!$E$56="Ja",(G21+H21)/100*20.678,0)</f>
        <v>0</v>
      </c>
      <c r="R21" s="41">
        <f t="shared" si="4"/>
        <v>0</v>
      </c>
    </row>
    <row r="22" spans="2:18" ht="24.95" customHeight="1" x14ac:dyDescent="0.2">
      <c r="B22" s="339">
        <f>Personal!B57</f>
        <v>0</v>
      </c>
      <c r="C22" s="340">
        <f>Personal!E57</f>
        <v>0</v>
      </c>
      <c r="D22" s="341" t="str">
        <f>Personal!I57</f>
        <v xml:space="preserve"> </v>
      </c>
      <c r="E22" s="342">
        <f>Personal!J57</f>
        <v>0</v>
      </c>
      <c r="F22" s="342">
        <f>Grunddaten_Antrag!$E$50</f>
        <v>0</v>
      </c>
      <c r="G22" s="475"/>
      <c r="H22" s="475"/>
      <c r="I22" s="296">
        <f>IF(Grunddaten_Antrag!$E$56="Ja",(G22+H22)/100*20.678,0)</f>
        <v>0</v>
      </c>
      <c r="J22" s="301"/>
      <c r="K22" s="309">
        <f>IFERROR(IF(Grunddaten_Antrag!$E$56="ja",Q22/R22,J22/R22),0)</f>
        <v>0</v>
      </c>
      <c r="M22" s="298">
        <f t="shared" si="0"/>
        <v>0</v>
      </c>
      <c r="N22" s="298">
        <f t="shared" si="1"/>
        <v>0</v>
      </c>
      <c r="O22" s="298">
        <f t="shared" si="2"/>
        <v>0</v>
      </c>
      <c r="P22" s="298">
        <f t="shared" si="3"/>
        <v>0</v>
      </c>
      <c r="Q22" s="297">
        <f>IF(Grunddaten_Antrag!$E$56="Ja",(G22+H22)/100*20.678,0)</f>
        <v>0</v>
      </c>
      <c r="R22" s="41">
        <f t="shared" si="4"/>
        <v>0</v>
      </c>
    </row>
    <row r="23" spans="2:18" ht="24.95" customHeight="1" x14ac:dyDescent="0.2">
      <c r="B23" s="339">
        <f>Personal!B58</f>
        <v>0</v>
      </c>
      <c r="C23" s="340">
        <f>Personal!E58</f>
        <v>0</v>
      </c>
      <c r="D23" s="341" t="str">
        <f>Personal!I58</f>
        <v xml:space="preserve"> </v>
      </c>
      <c r="E23" s="342">
        <f>Personal!J58</f>
        <v>0</v>
      </c>
      <c r="F23" s="342">
        <f>Grunddaten_Antrag!$E$50</f>
        <v>0</v>
      </c>
      <c r="G23" s="475"/>
      <c r="H23" s="475"/>
      <c r="I23" s="296">
        <f>IF(Grunddaten_Antrag!$E$56="Ja",(G23+H23)/100*20.678,0)</f>
        <v>0</v>
      </c>
      <c r="J23" s="301"/>
      <c r="K23" s="309">
        <f>IFERROR(IF(Grunddaten_Antrag!$E$56="ja",Q23/R23,J23/R23),0)</f>
        <v>0</v>
      </c>
      <c r="M23" s="298">
        <f t="shared" si="0"/>
        <v>0</v>
      </c>
      <c r="N23" s="298">
        <f t="shared" si="1"/>
        <v>0</v>
      </c>
      <c r="O23" s="298">
        <f t="shared" si="2"/>
        <v>0</v>
      </c>
      <c r="P23" s="298">
        <f t="shared" si="3"/>
        <v>0</v>
      </c>
      <c r="Q23" s="297">
        <f>IF(Grunddaten_Antrag!$E$56="Ja",(G23+H23)/100*20.678,0)</f>
        <v>0</v>
      </c>
      <c r="R23" s="41">
        <f t="shared" si="4"/>
        <v>0</v>
      </c>
    </row>
    <row r="24" spans="2:18" ht="24.95" customHeight="1" x14ac:dyDescent="0.2">
      <c r="B24" s="339">
        <f>Personal!B59</f>
        <v>0</v>
      </c>
      <c r="C24" s="340">
        <f>Personal!E59</f>
        <v>0</v>
      </c>
      <c r="D24" s="341" t="str">
        <f>Personal!I59</f>
        <v xml:space="preserve"> </v>
      </c>
      <c r="E24" s="342">
        <f>Personal!J59</f>
        <v>0</v>
      </c>
      <c r="F24" s="342">
        <f>Grunddaten_Antrag!$E$50</f>
        <v>0</v>
      </c>
      <c r="G24" s="475"/>
      <c r="H24" s="475"/>
      <c r="I24" s="296">
        <f>IF(Grunddaten_Antrag!$E$56="Ja",(G24+H24)/100*20.678,0)</f>
        <v>0</v>
      </c>
      <c r="J24" s="301"/>
      <c r="K24" s="309">
        <f>IFERROR(IF(Grunddaten_Antrag!$E$56="ja",Q24/R24,J24/R24),0)</f>
        <v>0</v>
      </c>
      <c r="M24" s="298">
        <f t="shared" si="0"/>
        <v>0</v>
      </c>
      <c r="N24" s="298">
        <f t="shared" si="1"/>
        <v>0</v>
      </c>
      <c r="O24" s="298">
        <f t="shared" si="2"/>
        <v>0</v>
      </c>
      <c r="P24" s="298">
        <f t="shared" si="3"/>
        <v>0</v>
      </c>
      <c r="Q24" s="297">
        <f>IF(Grunddaten_Antrag!$E$56="Ja",(G24+H24)/100*20.678,0)</f>
        <v>0</v>
      </c>
      <c r="R24" s="41">
        <f t="shared" si="4"/>
        <v>0</v>
      </c>
    </row>
    <row r="25" spans="2:18" ht="24.95" customHeight="1" x14ac:dyDescent="0.2">
      <c r="B25" s="339">
        <f>Personal!B60</f>
        <v>0</v>
      </c>
      <c r="C25" s="340">
        <f>Personal!E60</f>
        <v>0</v>
      </c>
      <c r="D25" s="341" t="str">
        <f>Personal!I60</f>
        <v xml:space="preserve"> </v>
      </c>
      <c r="E25" s="342">
        <f>Personal!J60</f>
        <v>0</v>
      </c>
      <c r="F25" s="342">
        <f>Grunddaten_Antrag!$E$50</f>
        <v>0</v>
      </c>
      <c r="G25" s="475"/>
      <c r="H25" s="475"/>
      <c r="I25" s="296">
        <f>IF(Grunddaten_Antrag!$E$56="Ja",(G25+H25)/100*20.678,0)</f>
        <v>0</v>
      </c>
      <c r="J25" s="301"/>
      <c r="K25" s="309">
        <f>IFERROR(IF(Grunddaten_Antrag!$E$56="ja",Q25/R25,J25/R25),0)</f>
        <v>0</v>
      </c>
      <c r="M25" s="298">
        <f t="shared" si="0"/>
        <v>0</v>
      </c>
      <c r="N25" s="298">
        <f t="shared" si="1"/>
        <v>0</v>
      </c>
      <c r="O25" s="298">
        <f t="shared" si="2"/>
        <v>0</v>
      </c>
      <c r="P25" s="298">
        <f t="shared" si="3"/>
        <v>0</v>
      </c>
      <c r="Q25" s="297">
        <f>IF(Grunddaten_Antrag!$E$56="Ja",(G25+H25)/100*20.678,0)</f>
        <v>0</v>
      </c>
      <c r="R25" s="41">
        <f t="shared" si="4"/>
        <v>0</v>
      </c>
    </row>
    <row r="26" spans="2:18" ht="24.95" customHeight="1" x14ac:dyDescent="0.2">
      <c r="B26" s="339">
        <f>Personal!B61</f>
        <v>0</v>
      </c>
      <c r="C26" s="340">
        <f>Personal!E61</f>
        <v>0</v>
      </c>
      <c r="D26" s="341" t="str">
        <f>Personal!I61</f>
        <v xml:space="preserve"> </v>
      </c>
      <c r="E26" s="342">
        <f>Personal!J61</f>
        <v>0</v>
      </c>
      <c r="F26" s="342">
        <f>Grunddaten_Antrag!$E$50</f>
        <v>0</v>
      </c>
      <c r="G26" s="475"/>
      <c r="H26" s="475"/>
      <c r="I26" s="296">
        <f>IF(Grunddaten_Antrag!$E$56="Ja",(G26+H26)/100*20.678,0)</f>
        <v>0</v>
      </c>
      <c r="J26" s="301"/>
      <c r="K26" s="309">
        <f>IFERROR(IF(Grunddaten_Antrag!$E$56="ja",Q26/R26,J26/R26),0)</f>
        <v>0</v>
      </c>
      <c r="M26" s="298">
        <f t="shared" si="0"/>
        <v>0</v>
      </c>
      <c r="N26" s="298">
        <f t="shared" si="1"/>
        <v>0</v>
      </c>
      <c r="O26" s="298">
        <f t="shared" si="2"/>
        <v>0</v>
      </c>
      <c r="P26" s="298">
        <f t="shared" si="3"/>
        <v>0</v>
      </c>
      <c r="Q26" s="297">
        <f>IF(Grunddaten_Antrag!$E$56="Ja",(G26+H26)/100*20.678,0)</f>
        <v>0</v>
      </c>
      <c r="R26" s="41">
        <f t="shared" si="4"/>
        <v>0</v>
      </c>
    </row>
    <row r="27" spans="2:18" ht="24.95" customHeight="1" x14ac:dyDescent="0.2">
      <c r="B27" s="339">
        <f>Personal!B62</f>
        <v>0</v>
      </c>
      <c r="C27" s="340">
        <f>Personal!E62</f>
        <v>0</v>
      </c>
      <c r="D27" s="341" t="str">
        <f>Personal!I62</f>
        <v xml:space="preserve"> </v>
      </c>
      <c r="E27" s="342">
        <f>Personal!J62</f>
        <v>0</v>
      </c>
      <c r="F27" s="342">
        <f>Grunddaten_Antrag!$E$50</f>
        <v>0</v>
      </c>
      <c r="G27" s="475"/>
      <c r="H27" s="475"/>
      <c r="I27" s="296">
        <f>IF(Grunddaten_Antrag!$E$56="Ja",(G27+H27)/100*20.678,0)</f>
        <v>0</v>
      </c>
      <c r="J27" s="301"/>
      <c r="K27" s="309">
        <f>IFERROR(IF(Grunddaten_Antrag!$E$56="ja",Q27/R27,J27/R27),0)</f>
        <v>0</v>
      </c>
      <c r="M27" s="298">
        <f t="shared" si="0"/>
        <v>0</v>
      </c>
      <c r="N27" s="298">
        <f t="shared" si="1"/>
        <v>0</v>
      </c>
      <c r="O27" s="298">
        <f t="shared" si="2"/>
        <v>0</v>
      </c>
      <c r="P27" s="298">
        <f t="shared" si="3"/>
        <v>0</v>
      </c>
      <c r="Q27" s="297">
        <f>IF(Grunddaten_Antrag!$E$56="Ja",(G27+H27)/100*20.678,0)</f>
        <v>0</v>
      </c>
      <c r="R27" s="41">
        <f t="shared" si="4"/>
        <v>0</v>
      </c>
    </row>
    <row r="28" spans="2:18" ht="24.95" customHeight="1" x14ac:dyDescent="0.2">
      <c r="B28" s="339">
        <f>Personal!B63</f>
        <v>0</v>
      </c>
      <c r="C28" s="340">
        <f>Personal!E63</f>
        <v>0</v>
      </c>
      <c r="D28" s="341" t="str">
        <f>Personal!I63</f>
        <v xml:space="preserve"> </v>
      </c>
      <c r="E28" s="342">
        <f>Personal!J63</f>
        <v>0</v>
      </c>
      <c r="F28" s="342">
        <f>Grunddaten_Antrag!$E$50</f>
        <v>0</v>
      </c>
      <c r="G28" s="475"/>
      <c r="H28" s="475"/>
      <c r="I28" s="296">
        <f>IF(Grunddaten_Antrag!$E$56="Ja",(G28+H28)/100*20.678,0)</f>
        <v>0</v>
      </c>
      <c r="J28" s="301"/>
      <c r="K28" s="309">
        <f>IFERROR(IF(Grunddaten_Antrag!$E$56="ja",Q28/R28,J28/R28),0)</f>
        <v>0</v>
      </c>
      <c r="M28" s="298">
        <f t="shared" si="0"/>
        <v>0</v>
      </c>
      <c r="N28" s="298">
        <f t="shared" si="1"/>
        <v>0</v>
      </c>
      <c r="O28" s="298">
        <f t="shared" si="2"/>
        <v>0</v>
      </c>
      <c r="P28" s="298">
        <f t="shared" si="3"/>
        <v>0</v>
      </c>
      <c r="Q28" s="297">
        <f>IF(Grunddaten_Antrag!$E$56="Ja",(G28+H28)/100*20.678,0)</f>
        <v>0</v>
      </c>
      <c r="R28" s="41">
        <f t="shared" si="4"/>
        <v>0</v>
      </c>
    </row>
    <row r="29" spans="2:18" ht="24.95" customHeight="1" x14ac:dyDescent="0.2">
      <c r="B29" s="339">
        <f>Personal!B64</f>
        <v>0</v>
      </c>
      <c r="C29" s="340">
        <f>Personal!E64</f>
        <v>0</v>
      </c>
      <c r="D29" s="341" t="str">
        <f>Personal!I64</f>
        <v xml:space="preserve"> </v>
      </c>
      <c r="E29" s="342">
        <f>Personal!J64</f>
        <v>0</v>
      </c>
      <c r="F29" s="342">
        <f>Grunddaten_Antrag!$E$50</f>
        <v>0</v>
      </c>
      <c r="G29" s="475"/>
      <c r="H29" s="475"/>
      <c r="I29" s="296">
        <f>IF(Grunddaten_Antrag!$E$56="Ja",(G29+H29)/100*20.678,0)</f>
        <v>0</v>
      </c>
      <c r="J29" s="301"/>
      <c r="K29" s="309">
        <f>IFERROR(IF(Grunddaten_Antrag!$E$56="ja",Q29/R29,J29/R29),0)</f>
        <v>0</v>
      </c>
      <c r="M29" s="298">
        <f t="shared" si="0"/>
        <v>0</v>
      </c>
      <c r="N29" s="298">
        <f t="shared" si="1"/>
        <v>0</v>
      </c>
      <c r="O29" s="298">
        <f t="shared" si="2"/>
        <v>0</v>
      </c>
      <c r="P29" s="298">
        <f t="shared" si="3"/>
        <v>0</v>
      </c>
      <c r="Q29" s="297">
        <f>IF(Grunddaten_Antrag!$E$56="Ja",(G29+H29)/100*20.678,0)</f>
        <v>0</v>
      </c>
      <c r="R29" s="41">
        <f t="shared" si="4"/>
        <v>0</v>
      </c>
    </row>
    <row r="30" spans="2:18" ht="24.95" customHeight="1" x14ac:dyDescent="0.2">
      <c r="B30" s="339">
        <f>Personal!B65</f>
        <v>0</v>
      </c>
      <c r="C30" s="340">
        <f>Personal!E65</f>
        <v>0</v>
      </c>
      <c r="D30" s="341" t="str">
        <f>Personal!I65</f>
        <v xml:space="preserve"> </v>
      </c>
      <c r="E30" s="342">
        <f>Personal!J65</f>
        <v>0</v>
      </c>
      <c r="F30" s="342">
        <f>Grunddaten_Antrag!$E$50</f>
        <v>0</v>
      </c>
      <c r="G30" s="475"/>
      <c r="H30" s="475"/>
      <c r="I30" s="296">
        <f>IF(Grunddaten_Antrag!$E$56="Ja",(G30+H30)/100*20.678,0)</f>
        <v>0</v>
      </c>
      <c r="J30" s="301"/>
      <c r="K30" s="309">
        <f>IFERROR(IF(Grunddaten_Antrag!$E$56="ja",Q30/R30,J30/R30),0)</f>
        <v>0</v>
      </c>
      <c r="M30" s="298">
        <f t="shared" si="0"/>
        <v>0</v>
      </c>
      <c r="N30" s="298">
        <f t="shared" si="1"/>
        <v>0</v>
      </c>
      <c r="O30" s="298">
        <f t="shared" si="2"/>
        <v>0</v>
      </c>
      <c r="P30" s="298">
        <f t="shared" si="3"/>
        <v>0</v>
      </c>
      <c r="Q30" s="297">
        <f>IF(Grunddaten_Antrag!$E$56="Ja",(G30+H30)/100*20.678,0)</f>
        <v>0</v>
      </c>
      <c r="R30" s="41">
        <f t="shared" si="4"/>
        <v>0</v>
      </c>
    </row>
    <row r="31" spans="2:18" ht="24.95" customHeight="1" x14ac:dyDescent="0.2">
      <c r="B31" s="339">
        <f>Personal!B66</f>
        <v>0</v>
      </c>
      <c r="C31" s="340">
        <f>Personal!E66</f>
        <v>0</v>
      </c>
      <c r="D31" s="341" t="str">
        <f>Personal!I66</f>
        <v xml:space="preserve"> </v>
      </c>
      <c r="E31" s="342">
        <f>Personal!J66</f>
        <v>0</v>
      </c>
      <c r="F31" s="342">
        <f>Grunddaten_Antrag!$E$50</f>
        <v>0</v>
      </c>
      <c r="G31" s="475"/>
      <c r="H31" s="475"/>
      <c r="I31" s="296">
        <f>IF(Grunddaten_Antrag!$E$56="Ja",(G31+H31)/100*20.678,0)</f>
        <v>0</v>
      </c>
      <c r="J31" s="301"/>
      <c r="K31" s="309">
        <f>IFERROR(IF(Grunddaten_Antrag!$E$56="ja",Q31/R31,J31/R31),0)</f>
        <v>0</v>
      </c>
      <c r="M31" s="298">
        <f t="shared" si="0"/>
        <v>0</v>
      </c>
      <c r="N31" s="298">
        <f t="shared" si="1"/>
        <v>0</v>
      </c>
      <c r="O31" s="298">
        <f t="shared" si="2"/>
        <v>0</v>
      </c>
      <c r="P31" s="298">
        <f t="shared" si="3"/>
        <v>0</v>
      </c>
      <c r="Q31" s="297">
        <f>IF(Grunddaten_Antrag!$E$56="Ja",(G31+H31)/100*20.678,0)</f>
        <v>0</v>
      </c>
      <c r="R31" s="41">
        <f t="shared" si="4"/>
        <v>0</v>
      </c>
    </row>
    <row r="32" spans="2:18" ht="24.95" customHeight="1" x14ac:dyDescent="0.2">
      <c r="B32" s="339">
        <f>Personal!B67</f>
        <v>0</v>
      </c>
      <c r="C32" s="340">
        <f>Personal!E67</f>
        <v>0</v>
      </c>
      <c r="D32" s="341" t="str">
        <f>Personal!I67</f>
        <v xml:space="preserve"> </v>
      </c>
      <c r="E32" s="342">
        <f>Personal!J67</f>
        <v>0</v>
      </c>
      <c r="F32" s="342">
        <f>Grunddaten_Antrag!$E$50</f>
        <v>0</v>
      </c>
      <c r="G32" s="475"/>
      <c r="H32" s="475"/>
      <c r="I32" s="296">
        <f>IF(Grunddaten_Antrag!$E$56="Ja",(G32+H32)/100*20.678,0)</f>
        <v>0</v>
      </c>
      <c r="J32" s="301"/>
      <c r="K32" s="309">
        <f>IFERROR(IF(Grunddaten_Antrag!$E$56="ja",Q32/R32,J32/R32),0)</f>
        <v>0</v>
      </c>
      <c r="M32" s="298">
        <f t="shared" si="0"/>
        <v>0</v>
      </c>
      <c r="N32" s="298">
        <f t="shared" si="1"/>
        <v>0</v>
      </c>
      <c r="O32" s="298">
        <f t="shared" si="2"/>
        <v>0</v>
      </c>
      <c r="P32" s="298">
        <f t="shared" si="3"/>
        <v>0</v>
      </c>
      <c r="Q32" s="297">
        <f>IF(Grunddaten_Antrag!$E$56="Ja",(G32+H32)/100*20.678,0)</f>
        <v>0</v>
      </c>
      <c r="R32" s="41">
        <f t="shared" si="4"/>
        <v>0</v>
      </c>
    </row>
    <row r="33" spans="2:18" ht="24.95" customHeight="1" x14ac:dyDescent="0.2">
      <c r="B33" s="339">
        <f>Personal!B68</f>
        <v>0</v>
      </c>
      <c r="C33" s="340">
        <f>Personal!E68</f>
        <v>0</v>
      </c>
      <c r="D33" s="341" t="str">
        <f>Personal!I68</f>
        <v xml:space="preserve"> </v>
      </c>
      <c r="E33" s="342">
        <f>Personal!J68</f>
        <v>0</v>
      </c>
      <c r="F33" s="342">
        <f>Grunddaten_Antrag!$E$50</f>
        <v>0</v>
      </c>
      <c r="G33" s="475"/>
      <c r="H33" s="475"/>
      <c r="I33" s="296">
        <f>IF(Grunddaten_Antrag!$E$56="Ja",(G33+H33)/100*20.678,0)</f>
        <v>0</v>
      </c>
      <c r="J33" s="301"/>
      <c r="K33" s="309">
        <f>IFERROR(IF(Grunddaten_Antrag!$E$56="ja",Q33/R33,J33/R33),0)</f>
        <v>0</v>
      </c>
      <c r="M33" s="298">
        <f t="shared" si="0"/>
        <v>0</v>
      </c>
      <c r="N33" s="298">
        <f t="shared" si="1"/>
        <v>0</v>
      </c>
      <c r="O33" s="298">
        <f t="shared" si="2"/>
        <v>0</v>
      </c>
      <c r="P33" s="298">
        <f t="shared" si="3"/>
        <v>0</v>
      </c>
      <c r="Q33" s="297">
        <f>IF(Grunddaten_Antrag!$E$56="Ja",(G33+H33)/100*20.678,0)</f>
        <v>0</v>
      </c>
      <c r="R33" s="41">
        <f t="shared" si="4"/>
        <v>0</v>
      </c>
    </row>
    <row r="34" spans="2:18" ht="24.95" customHeight="1" x14ac:dyDescent="0.2">
      <c r="B34" s="339">
        <f>Personal!B69</f>
        <v>0</v>
      </c>
      <c r="C34" s="340">
        <f>Personal!E69</f>
        <v>0</v>
      </c>
      <c r="D34" s="341" t="str">
        <f>Personal!I69</f>
        <v xml:space="preserve"> </v>
      </c>
      <c r="E34" s="342">
        <f>Personal!J69</f>
        <v>0</v>
      </c>
      <c r="F34" s="342">
        <f>Grunddaten_Antrag!$E$50</f>
        <v>0</v>
      </c>
      <c r="G34" s="475"/>
      <c r="H34" s="475"/>
      <c r="I34" s="296">
        <f>IF(Grunddaten_Antrag!$E$56="Ja",(G34+H34)/100*20.678,0)</f>
        <v>0</v>
      </c>
      <c r="J34" s="301"/>
      <c r="K34" s="309">
        <f>IFERROR(IF(Grunddaten_Antrag!$E$56="ja",Q34/R34,J34/R34),0)</f>
        <v>0</v>
      </c>
      <c r="M34" s="298">
        <f t="shared" si="0"/>
        <v>0</v>
      </c>
      <c r="N34" s="298">
        <f t="shared" si="1"/>
        <v>0</v>
      </c>
      <c r="O34" s="298">
        <f t="shared" si="2"/>
        <v>0</v>
      </c>
      <c r="P34" s="298">
        <f t="shared" si="3"/>
        <v>0</v>
      </c>
      <c r="Q34" s="297">
        <f>IF(Grunddaten_Antrag!$E$56="Ja",(G34+H34)/100*20.678,0)</f>
        <v>0</v>
      </c>
      <c r="R34" s="41">
        <f t="shared" si="4"/>
        <v>0</v>
      </c>
    </row>
    <row r="35" spans="2:18" ht="24.95" customHeight="1" x14ac:dyDescent="0.2">
      <c r="B35" s="339">
        <f>Personal!B70</f>
        <v>0</v>
      </c>
      <c r="C35" s="340">
        <f>Personal!E70</f>
        <v>0</v>
      </c>
      <c r="D35" s="341" t="str">
        <f>Personal!I70</f>
        <v xml:space="preserve"> </v>
      </c>
      <c r="E35" s="342">
        <f>Personal!J70</f>
        <v>0</v>
      </c>
      <c r="F35" s="342">
        <f>Grunddaten_Antrag!$E$50</f>
        <v>0</v>
      </c>
      <c r="G35" s="475"/>
      <c r="H35" s="475"/>
      <c r="I35" s="296">
        <f>IF(Grunddaten_Antrag!$E$56="Ja",(G35+H35)/100*20.678,0)</f>
        <v>0</v>
      </c>
      <c r="J35" s="301"/>
      <c r="K35" s="309">
        <f>IFERROR(IF(Grunddaten_Antrag!$E$56="ja",Q35/R35,J35/R35),0)</f>
        <v>0</v>
      </c>
      <c r="M35" s="298">
        <f t="shared" si="0"/>
        <v>0</v>
      </c>
      <c r="N35" s="298">
        <f t="shared" si="1"/>
        <v>0</v>
      </c>
      <c r="O35" s="298">
        <f t="shared" si="2"/>
        <v>0</v>
      </c>
      <c r="P35" s="298">
        <f t="shared" si="3"/>
        <v>0</v>
      </c>
      <c r="Q35" s="297">
        <f>IF(Grunddaten_Antrag!$E$56="Ja",(G35+H35)/100*20.678,0)</f>
        <v>0</v>
      </c>
      <c r="R35" s="41">
        <f t="shared" si="4"/>
        <v>0</v>
      </c>
    </row>
    <row r="36" spans="2:18" ht="24.95" customHeight="1" x14ac:dyDescent="0.2">
      <c r="B36" s="339">
        <f>Personal!B71</f>
        <v>0</v>
      </c>
      <c r="C36" s="340">
        <f>Personal!E71</f>
        <v>0</v>
      </c>
      <c r="D36" s="341" t="str">
        <f>Personal!I71</f>
        <v xml:space="preserve"> </v>
      </c>
      <c r="E36" s="342">
        <f>Personal!J71</f>
        <v>0</v>
      </c>
      <c r="F36" s="342">
        <f>Grunddaten_Antrag!$E$50</f>
        <v>0</v>
      </c>
      <c r="G36" s="475"/>
      <c r="H36" s="475"/>
      <c r="I36" s="296">
        <f>IF(Grunddaten_Antrag!$E$56="Ja",(G36+H36)/100*20.678,0)</f>
        <v>0</v>
      </c>
      <c r="J36" s="301"/>
      <c r="K36" s="309">
        <f>IFERROR(IF(Grunddaten_Antrag!$E$56="ja",Q36/R36,J36/R36),0)</f>
        <v>0</v>
      </c>
      <c r="M36" s="298">
        <f t="shared" si="0"/>
        <v>0</v>
      </c>
      <c r="N36" s="298">
        <f t="shared" si="1"/>
        <v>0</v>
      </c>
      <c r="O36" s="298">
        <f t="shared" si="2"/>
        <v>0</v>
      </c>
      <c r="P36" s="298">
        <f t="shared" si="3"/>
        <v>0</v>
      </c>
      <c r="Q36" s="297">
        <f>IF(Grunddaten_Antrag!$E$56="Ja",(G36+H36)/100*20.678,0)</f>
        <v>0</v>
      </c>
      <c r="R36" s="41">
        <f t="shared" si="4"/>
        <v>0</v>
      </c>
    </row>
    <row r="37" spans="2:18" ht="24.95" customHeight="1" x14ac:dyDescent="0.2">
      <c r="B37" s="339">
        <f>Personal!B72</f>
        <v>0</v>
      </c>
      <c r="C37" s="340">
        <f>Personal!E72</f>
        <v>0</v>
      </c>
      <c r="D37" s="341" t="str">
        <f>Personal!I72</f>
        <v xml:space="preserve"> </v>
      </c>
      <c r="E37" s="342">
        <f>Personal!J72</f>
        <v>0</v>
      </c>
      <c r="F37" s="342">
        <f>Grunddaten_Antrag!$E$50</f>
        <v>0</v>
      </c>
      <c r="G37" s="475"/>
      <c r="H37" s="475"/>
      <c r="I37" s="296">
        <f>IF(Grunddaten_Antrag!$E$56="Ja",(G37+H37)/100*20.678,0)</f>
        <v>0</v>
      </c>
      <c r="J37" s="301"/>
      <c r="K37" s="309">
        <f>IFERROR(IF(Grunddaten_Antrag!$E$56="ja",Q37/R37,J37/R37),0)</f>
        <v>0</v>
      </c>
      <c r="M37" s="298">
        <f t="shared" si="0"/>
        <v>0</v>
      </c>
      <c r="N37" s="298">
        <f t="shared" si="1"/>
        <v>0</v>
      </c>
      <c r="O37" s="298">
        <f t="shared" si="2"/>
        <v>0</v>
      </c>
      <c r="P37" s="298">
        <f t="shared" si="3"/>
        <v>0</v>
      </c>
      <c r="Q37" s="297">
        <f>IF(Grunddaten_Antrag!$E$56="Ja",(G37+H37)/100*20.678,0)</f>
        <v>0</v>
      </c>
      <c r="R37" s="41">
        <f t="shared" si="4"/>
        <v>0</v>
      </c>
    </row>
    <row r="38" spans="2:18" ht="24.95" customHeight="1" x14ac:dyDescent="0.2">
      <c r="B38" s="339">
        <f>Personal!B73</f>
        <v>0</v>
      </c>
      <c r="C38" s="340">
        <f>Personal!E73</f>
        <v>0</v>
      </c>
      <c r="D38" s="341" t="str">
        <f>Personal!I73</f>
        <v xml:space="preserve"> </v>
      </c>
      <c r="E38" s="342">
        <f>Personal!J73</f>
        <v>0</v>
      </c>
      <c r="F38" s="342">
        <f>Grunddaten_Antrag!$E$50</f>
        <v>0</v>
      </c>
      <c r="G38" s="475"/>
      <c r="H38" s="475"/>
      <c r="I38" s="296">
        <f>IF(Grunddaten_Antrag!$E$56="Ja",(G38+H38)/100*20.678,0)</f>
        <v>0</v>
      </c>
      <c r="J38" s="301"/>
      <c r="K38" s="309">
        <f>IFERROR(IF(Grunddaten_Antrag!$E$56="ja",Q38/R38,J38/R38),0)</f>
        <v>0</v>
      </c>
      <c r="M38" s="298">
        <f t="shared" si="0"/>
        <v>0</v>
      </c>
      <c r="N38" s="298">
        <f t="shared" si="1"/>
        <v>0</v>
      </c>
      <c r="O38" s="298">
        <f t="shared" si="2"/>
        <v>0</v>
      </c>
      <c r="P38" s="298">
        <f t="shared" si="3"/>
        <v>0</v>
      </c>
      <c r="Q38" s="297">
        <f>IF(Grunddaten_Antrag!$E$56="Ja",(G38+H38)/100*20.678,0)</f>
        <v>0</v>
      </c>
      <c r="R38" s="41">
        <f t="shared" si="4"/>
        <v>0</v>
      </c>
    </row>
    <row r="39" spans="2:18" ht="24.95" customHeight="1" x14ac:dyDescent="0.2">
      <c r="B39" s="339">
        <f>Personal!B74</f>
        <v>0</v>
      </c>
      <c r="C39" s="340">
        <f>Personal!E74</f>
        <v>0</v>
      </c>
      <c r="D39" s="341" t="str">
        <f>Personal!I74</f>
        <v xml:space="preserve"> </v>
      </c>
      <c r="E39" s="342">
        <f>Personal!J74</f>
        <v>0</v>
      </c>
      <c r="F39" s="342">
        <f>Grunddaten_Antrag!$E$50</f>
        <v>0</v>
      </c>
      <c r="G39" s="475"/>
      <c r="H39" s="475"/>
      <c r="I39" s="296">
        <f>IF(Grunddaten_Antrag!$E$56="Ja",(G39+H39)/100*20.678,0)</f>
        <v>0</v>
      </c>
      <c r="J39" s="301"/>
      <c r="K39" s="309">
        <f>IFERROR(IF(Grunddaten_Antrag!$E$56="ja",Q39/R39,J39/R39),0)</f>
        <v>0</v>
      </c>
      <c r="M39" s="298">
        <f t="shared" si="0"/>
        <v>0</v>
      </c>
      <c r="N39" s="298">
        <f t="shared" si="1"/>
        <v>0</v>
      </c>
      <c r="O39" s="298">
        <f t="shared" si="2"/>
        <v>0</v>
      </c>
      <c r="P39" s="298">
        <f t="shared" si="3"/>
        <v>0</v>
      </c>
      <c r="Q39" s="297">
        <f>IF(Grunddaten_Antrag!$E$56="Ja",(G39+H39)/100*20.678,0)</f>
        <v>0</v>
      </c>
      <c r="R39" s="41">
        <f t="shared" si="4"/>
        <v>0</v>
      </c>
    </row>
    <row r="40" spans="2:18" ht="24.95" customHeight="1" x14ac:dyDescent="0.2">
      <c r="B40" s="339">
        <f>Personal!B75</f>
        <v>0</v>
      </c>
      <c r="C40" s="340">
        <f>Personal!E75</f>
        <v>0</v>
      </c>
      <c r="D40" s="341" t="str">
        <f>Personal!I75</f>
        <v xml:space="preserve"> </v>
      </c>
      <c r="E40" s="342">
        <f>Personal!J75</f>
        <v>0</v>
      </c>
      <c r="F40" s="342">
        <f>Grunddaten_Antrag!$E$50</f>
        <v>0</v>
      </c>
      <c r="G40" s="475"/>
      <c r="H40" s="475"/>
      <c r="I40" s="296">
        <f>IF(Grunddaten_Antrag!$E$56="Ja",(G40+H40)/100*20.678,0)</f>
        <v>0</v>
      </c>
      <c r="J40" s="301"/>
      <c r="K40" s="309">
        <f>IFERROR(IF(Grunddaten_Antrag!$E$56="ja",Q40/R40,J40/R40),0)</f>
        <v>0</v>
      </c>
      <c r="M40" s="298">
        <f t="shared" si="0"/>
        <v>0</v>
      </c>
      <c r="N40" s="298">
        <f t="shared" si="1"/>
        <v>0</v>
      </c>
      <c r="O40" s="298">
        <f t="shared" si="2"/>
        <v>0</v>
      </c>
      <c r="P40" s="298">
        <f t="shared" si="3"/>
        <v>0</v>
      </c>
      <c r="Q40" s="297">
        <f>IF(Grunddaten_Antrag!$E$56="Ja",(G40+H40)/100*20.678,0)</f>
        <v>0</v>
      </c>
      <c r="R40" s="41">
        <f t="shared" si="4"/>
        <v>0</v>
      </c>
    </row>
    <row r="41" spans="2:18" ht="24.95" customHeight="1" x14ac:dyDescent="0.2">
      <c r="B41" s="339">
        <f>Personal!B76</f>
        <v>0</v>
      </c>
      <c r="C41" s="340">
        <f>Personal!E76</f>
        <v>0</v>
      </c>
      <c r="D41" s="341" t="str">
        <f>Personal!I76</f>
        <v xml:space="preserve"> </v>
      </c>
      <c r="E41" s="342">
        <f>Personal!J76</f>
        <v>0</v>
      </c>
      <c r="F41" s="342">
        <f>Grunddaten_Antrag!$E$50</f>
        <v>0</v>
      </c>
      <c r="G41" s="475"/>
      <c r="H41" s="475"/>
      <c r="I41" s="296">
        <f>IF(Grunddaten_Antrag!$E$56="Ja",(G41+H41)/100*20.678,0)</f>
        <v>0</v>
      </c>
      <c r="J41" s="301"/>
      <c r="K41" s="309">
        <f>IFERROR(IF(Grunddaten_Antrag!$E$56="ja",Q41/R41,J41/R41),0)</f>
        <v>0</v>
      </c>
      <c r="M41" s="298">
        <f t="shared" si="0"/>
        <v>0</v>
      </c>
      <c r="N41" s="298">
        <f t="shared" si="1"/>
        <v>0</v>
      </c>
      <c r="O41" s="298">
        <f t="shared" si="2"/>
        <v>0</v>
      </c>
      <c r="P41" s="298">
        <f t="shared" si="3"/>
        <v>0</v>
      </c>
      <c r="Q41" s="297">
        <f>IF(Grunddaten_Antrag!$E$56="Ja",(G41+H41)/100*20.678,0)</f>
        <v>0</v>
      </c>
      <c r="R41" s="41">
        <f t="shared" si="4"/>
        <v>0</v>
      </c>
    </row>
    <row r="42" spans="2:18" ht="24.95" customHeight="1" x14ac:dyDescent="0.2">
      <c r="B42" s="339">
        <f>Personal!B77</f>
        <v>0</v>
      </c>
      <c r="C42" s="340">
        <f>Personal!E77</f>
        <v>0</v>
      </c>
      <c r="D42" s="341" t="str">
        <f>Personal!I77</f>
        <v xml:space="preserve"> </v>
      </c>
      <c r="E42" s="342">
        <f>Personal!J77</f>
        <v>0</v>
      </c>
      <c r="F42" s="342">
        <f>Grunddaten_Antrag!$E$50</f>
        <v>0</v>
      </c>
      <c r="G42" s="475"/>
      <c r="H42" s="475"/>
      <c r="I42" s="296">
        <f>IF(Grunddaten_Antrag!$E$56="Ja",(G42+H42)/100*20.678,0)</f>
        <v>0</v>
      </c>
      <c r="J42" s="301"/>
      <c r="K42" s="309">
        <f>IFERROR(IF(Grunddaten_Antrag!$E$56="ja",Q42/R42,J42/R42),0)</f>
        <v>0</v>
      </c>
      <c r="M42" s="298">
        <f t="shared" si="0"/>
        <v>0</v>
      </c>
      <c r="N42" s="298">
        <f t="shared" si="1"/>
        <v>0</v>
      </c>
      <c r="O42" s="298">
        <f t="shared" si="2"/>
        <v>0</v>
      </c>
      <c r="P42" s="298">
        <f t="shared" si="3"/>
        <v>0</v>
      </c>
      <c r="Q42" s="297">
        <f>IF(Grunddaten_Antrag!$E$56="Ja",(G42+H42)/100*20.678,0)</f>
        <v>0</v>
      </c>
      <c r="R42" s="41">
        <f t="shared" si="4"/>
        <v>0</v>
      </c>
    </row>
    <row r="43" spans="2:18" ht="24.95" customHeight="1" x14ac:dyDescent="0.2">
      <c r="B43" s="339">
        <f>Personal!B78</f>
        <v>0</v>
      </c>
      <c r="C43" s="340">
        <f>Personal!E78</f>
        <v>0</v>
      </c>
      <c r="D43" s="341" t="str">
        <f>Personal!I78</f>
        <v xml:space="preserve"> </v>
      </c>
      <c r="E43" s="342">
        <f>Personal!J78</f>
        <v>0</v>
      </c>
      <c r="F43" s="342">
        <f>Grunddaten_Antrag!$E$50</f>
        <v>0</v>
      </c>
      <c r="G43" s="475"/>
      <c r="H43" s="475"/>
      <c r="I43" s="296">
        <f>IF(Grunddaten_Antrag!$E$56="Ja",(G43+H43)/100*20.678,0)</f>
        <v>0</v>
      </c>
      <c r="J43" s="301"/>
      <c r="K43" s="309">
        <f>IFERROR(IF(Grunddaten_Antrag!$E$56="ja",Q43/R43,J43/R43),0)</f>
        <v>0</v>
      </c>
      <c r="M43" s="298">
        <f t="shared" si="0"/>
        <v>0</v>
      </c>
      <c r="N43" s="298">
        <f t="shared" si="1"/>
        <v>0</v>
      </c>
      <c r="O43" s="298">
        <f t="shared" si="2"/>
        <v>0</v>
      </c>
      <c r="P43" s="298">
        <f t="shared" si="3"/>
        <v>0</v>
      </c>
      <c r="Q43" s="297">
        <f>IF(Grunddaten_Antrag!$E$56="Ja",(G43+H43)/100*20.678,0)</f>
        <v>0</v>
      </c>
      <c r="R43" s="41">
        <f t="shared" si="4"/>
        <v>0</v>
      </c>
    </row>
    <row r="44" spans="2:18" ht="24.95" customHeight="1" x14ac:dyDescent="0.2">
      <c r="B44" s="339">
        <f>Personal!B79</f>
        <v>0</v>
      </c>
      <c r="C44" s="340">
        <f>Personal!E79</f>
        <v>0</v>
      </c>
      <c r="D44" s="341" t="str">
        <f>Personal!I79</f>
        <v xml:space="preserve"> </v>
      </c>
      <c r="E44" s="342">
        <f>Personal!J79</f>
        <v>0</v>
      </c>
      <c r="F44" s="342">
        <f>Grunddaten_Antrag!$E$50</f>
        <v>0</v>
      </c>
      <c r="G44" s="475"/>
      <c r="H44" s="475"/>
      <c r="I44" s="296">
        <f>IF(Grunddaten_Antrag!$E$56="Ja",(G44+H44)/100*20.678,0)</f>
        <v>0</v>
      </c>
      <c r="J44" s="301"/>
      <c r="K44" s="309">
        <f>IFERROR(IF(Grunddaten_Antrag!$E$56="ja",Q44/R44,J44/R44),0)</f>
        <v>0</v>
      </c>
      <c r="M44" s="298">
        <f t="shared" si="0"/>
        <v>0</v>
      </c>
      <c r="N44" s="298">
        <f t="shared" si="1"/>
        <v>0</v>
      </c>
      <c r="O44" s="298">
        <f t="shared" si="2"/>
        <v>0</v>
      </c>
      <c r="P44" s="298">
        <f t="shared" si="3"/>
        <v>0</v>
      </c>
      <c r="Q44" s="297">
        <f>IF(Grunddaten_Antrag!$E$56="Ja",(G44+H44)/100*20.678,0)</f>
        <v>0</v>
      </c>
      <c r="R44" s="41">
        <f t="shared" si="4"/>
        <v>0</v>
      </c>
    </row>
    <row r="45" spans="2:18" ht="24.95" customHeight="1" x14ac:dyDescent="0.2">
      <c r="B45" s="339">
        <f>Personal!B80</f>
        <v>0</v>
      </c>
      <c r="C45" s="340">
        <f>Personal!E80</f>
        <v>0</v>
      </c>
      <c r="D45" s="341" t="str">
        <f>Personal!I80</f>
        <v xml:space="preserve"> </v>
      </c>
      <c r="E45" s="342">
        <f>Personal!J80</f>
        <v>0</v>
      </c>
      <c r="F45" s="342">
        <f>Grunddaten_Antrag!$E$50</f>
        <v>0</v>
      </c>
      <c r="G45" s="475"/>
      <c r="H45" s="475"/>
      <c r="I45" s="296">
        <f>IF(Grunddaten_Antrag!$E$56="Ja",(G45+H45)/100*20.678,0)</f>
        <v>0</v>
      </c>
      <c r="J45" s="301"/>
      <c r="K45" s="309">
        <f>IFERROR(IF(Grunddaten_Antrag!$E$56="ja",Q45/R45,J45/R45),0)</f>
        <v>0</v>
      </c>
      <c r="M45" s="298">
        <f t="shared" si="0"/>
        <v>0</v>
      </c>
      <c r="N45" s="298">
        <f t="shared" si="1"/>
        <v>0</v>
      </c>
      <c r="O45" s="298">
        <f t="shared" si="2"/>
        <v>0</v>
      </c>
      <c r="P45" s="298">
        <f t="shared" si="3"/>
        <v>0</v>
      </c>
      <c r="Q45" s="297">
        <f>IF(Grunddaten_Antrag!$E$56="Ja",(G45+H45)/100*20.678,0)</f>
        <v>0</v>
      </c>
      <c r="R45" s="41">
        <f t="shared" si="4"/>
        <v>0</v>
      </c>
    </row>
    <row r="46" spans="2:18" ht="24.95" customHeight="1" x14ac:dyDescent="0.2">
      <c r="B46" s="339">
        <f>Personal!B81</f>
        <v>0</v>
      </c>
      <c r="C46" s="340">
        <f>Personal!E81</f>
        <v>0</v>
      </c>
      <c r="D46" s="341" t="str">
        <f>Personal!I81</f>
        <v xml:space="preserve"> </v>
      </c>
      <c r="E46" s="342">
        <f>Personal!J81</f>
        <v>0</v>
      </c>
      <c r="F46" s="342">
        <f>Grunddaten_Antrag!$E$50</f>
        <v>0</v>
      </c>
      <c r="G46" s="475"/>
      <c r="H46" s="475"/>
      <c r="I46" s="296">
        <f>IF(Grunddaten_Antrag!$E$56="Ja",(G46+H46)/100*20.678,0)</f>
        <v>0</v>
      </c>
      <c r="J46" s="301"/>
      <c r="K46" s="309">
        <f>IFERROR(IF(Grunddaten_Antrag!$E$56="ja",Q46/R46,J46/R46),0)</f>
        <v>0</v>
      </c>
      <c r="M46" s="298">
        <f t="shared" si="0"/>
        <v>0</v>
      </c>
      <c r="N46" s="298">
        <f t="shared" si="1"/>
        <v>0</v>
      </c>
      <c r="O46" s="298">
        <f t="shared" si="2"/>
        <v>0</v>
      </c>
      <c r="P46" s="298">
        <f t="shared" si="3"/>
        <v>0</v>
      </c>
      <c r="Q46" s="297">
        <f>IF(Grunddaten_Antrag!$E$56="Ja",(G46+H46)/100*20.678,0)</f>
        <v>0</v>
      </c>
      <c r="R46" s="41">
        <f t="shared" si="4"/>
        <v>0</v>
      </c>
    </row>
    <row r="47" spans="2:18" ht="24.95" customHeight="1" x14ac:dyDescent="0.2">
      <c r="B47" s="339">
        <f>Personal!B82</f>
        <v>0</v>
      </c>
      <c r="C47" s="340">
        <f>Personal!E82</f>
        <v>0</v>
      </c>
      <c r="D47" s="341" t="str">
        <f>Personal!I82</f>
        <v xml:space="preserve"> </v>
      </c>
      <c r="E47" s="342">
        <f>Personal!J82</f>
        <v>0</v>
      </c>
      <c r="F47" s="342">
        <f>Grunddaten_Antrag!$E$50</f>
        <v>0</v>
      </c>
      <c r="G47" s="475"/>
      <c r="H47" s="475"/>
      <c r="I47" s="296">
        <f>IF(Grunddaten_Antrag!$E$56="Ja",(G47+H47)/100*20.678,0)</f>
        <v>0</v>
      </c>
      <c r="J47" s="301"/>
      <c r="K47" s="309">
        <f>IFERROR(IF(Grunddaten_Antrag!$E$56="ja",Q47/R47,J47/R47),0)</f>
        <v>0</v>
      </c>
      <c r="M47" s="298">
        <f t="shared" si="0"/>
        <v>0</v>
      </c>
      <c r="N47" s="298">
        <f t="shared" si="1"/>
        <v>0</v>
      </c>
      <c r="O47" s="298">
        <f t="shared" si="2"/>
        <v>0</v>
      </c>
      <c r="P47" s="298">
        <f t="shared" si="3"/>
        <v>0</v>
      </c>
      <c r="Q47" s="297">
        <f>IF(Grunddaten_Antrag!$E$56="Ja",(G47+H47)/100*20.678,0)</f>
        <v>0</v>
      </c>
      <c r="R47" s="41">
        <f t="shared" si="4"/>
        <v>0</v>
      </c>
    </row>
    <row r="48" spans="2:18" ht="24.95" customHeight="1" x14ac:dyDescent="0.2">
      <c r="B48" s="339">
        <f>Personal!B83</f>
        <v>0</v>
      </c>
      <c r="C48" s="340">
        <f>Personal!E83</f>
        <v>0</v>
      </c>
      <c r="D48" s="341" t="str">
        <f>Personal!I83</f>
        <v xml:space="preserve"> </v>
      </c>
      <c r="E48" s="342">
        <f>Personal!J83</f>
        <v>0</v>
      </c>
      <c r="F48" s="342">
        <f>Grunddaten_Antrag!$E$50</f>
        <v>0</v>
      </c>
      <c r="G48" s="475"/>
      <c r="H48" s="475"/>
      <c r="I48" s="296">
        <f>IF(Grunddaten_Antrag!$E$56="Ja",(G48+H48)/100*20.678,0)</f>
        <v>0</v>
      </c>
      <c r="J48" s="301"/>
      <c r="K48" s="309">
        <f>IFERROR(IF(Grunddaten_Antrag!$E$56="ja",Q48/R48,J48/R48),0)</f>
        <v>0</v>
      </c>
      <c r="M48" s="298">
        <f t="shared" si="0"/>
        <v>0</v>
      </c>
      <c r="N48" s="298">
        <f t="shared" si="1"/>
        <v>0</v>
      </c>
      <c r="O48" s="298">
        <f t="shared" si="2"/>
        <v>0</v>
      </c>
      <c r="P48" s="298">
        <f t="shared" si="3"/>
        <v>0</v>
      </c>
      <c r="Q48" s="297">
        <f>IF(Grunddaten_Antrag!$E$56="Ja",(G48+H48)/100*20.678,0)</f>
        <v>0</v>
      </c>
      <c r="R48" s="41">
        <f t="shared" si="4"/>
        <v>0</v>
      </c>
    </row>
    <row r="49" spans="2:18" ht="24.95" customHeight="1" x14ac:dyDescent="0.2">
      <c r="B49" s="339">
        <f>Personal!B84</f>
        <v>0</v>
      </c>
      <c r="C49" s="340">
        <f>Personal!E84</f>
        <v>0</v>
      </c>
      <c r="D49" s="341" t="str">
        <f>Personal!I84</f>
        <v xml:space="preserve"> </v>
      </c>
      <c r="E49" s="342">
        <f>Personal!J84</f>
        <v>0</v>
      </c>
      <c r="F49" s="342">
        <f>Grunddaten_Antrag!$E$50</f>
        <v>0</v>
      </c>
      <c r="G49" s="475"/>
      <c r="H49" s="475"/>
      <c r="I49" s="296">
        <f>IF(Grunddaten_Antrag!$E$56="Ja",(G49+H49)/100*20.678,0)</f>
        <v>0</v>
      </c>
      <c r="J49" s="301"/>
      <c r="K49" s="309">
        <f>IFERROR(IF(Grunddaten_Antrag!$E$56="ja",Q49/R49,J49/R49),0)</f>
        <v>0</v>
      </c>
      <c r="M49" s="298">
        <f t="shared" si="0"/>
        <v>0</v>
      </c>
      <c r="N49" s="298">
        <f t="shared" si="1"/>
        <v>0</v>
      </c>
      <c r="O49" s="298">
        <f t="shared" si="2"/>
        <v>0</v>
      </c>
      <c r="P49" s="298">
        <f t="shared" si="3"/>
        <v>0</v>
      </c>
      <c r="Q49" s="297">
        <f>IF(Grunddaten_Antrag!$E$56="Ja",(G49+H49)/100*20.678,0)</f>
        <v>0</v>
      </c>
      <c r="R49" s="41">
        <f t="shared" si="4"/>
        <v>0</v>
      </c>
    </row>
    <row r="50" spans="2:18" ht="24.95" customHeight="1" x14ac:dyDescent="0.2">
      <c r="B50" s="339">
        <f>Personal!B85</f>
        <v>0</v>
      </c>
      <c r="C50" s="340">
        <f>Personal!E85</f>
        <v>0</v>
      </c>
      <c r="D50" s="341" t="str">
        <f>Personal!I85</f>
        <v xml:space="preserve"> </v>
      </c>
      <c r="E50" s="342">
        <f>Personal!J85</f>
        <v>0</v>
      </c>
      <c r="F50" s="342">
        <f>Grunddaten_Antrag!$E$50</f>
        <v>0</v>
      </c>
      <c r="G50" s="475"/>
      <c r="H50" s="475"/>
      <c r="I50" s="296">
        <f>IF(Grunddaten_Antrag!$E$56="Ja",(G50+H50)/100*20.678,0)</f>
        <v>0</v>
      </c>
      <c r="J50" s="301"/>
      <c r="K50" s="309">
        <f>IFERROR(IF(Grunddaten_Antrag!$E$56="ja",Q50/R50,J50/R50),0)</f>
        <v>0</v>
      </c>
      <c r="M50" s="298">
        <f t="shared" si="0"/>
        <v>0</v>
      </c>
      <c r="N50" s="298">
        <f t="shared" si="1"/>
        <v>0</v>
      </c>
      <c r="O50" s="298">
        <f t="shared" si="2"/>
        <v>0</v>
      </c>
      <c r="P50" s="298">
        <f t="shared" si="3"/>
        <v>0</v>
      </c>
      <c r="Q50" s="297">
        <f>IF(Grunddaten_Antrag!$E$56="Ja",(G50+H50)/100*20.678,0)</f>
        <v>0</v>
      </c>
      <c r="R50" s="41">
        <f t="shared" si="4"/>
        <v>0</v>
      </c>
    </row>
    <row r="51" spans="2:18" ht="24.95" customHeight="1" x14ac:dyDescent="0.2">
      <c r="B51" s="339">
        <f>Personal!B86</f>
        <v>0</v>
      </c>
      <c r="C51" s="340">
        <f>Personal!E86</f>
        <v>0</v>
      </c>
      <c r="D51" s="341" t="str">
        <f>Personal!I86</f>
        <v xml:space="preserve"> </v>
      </c>
      <c r="E51" s="342">
        <f>Personal!J86</f>
        <v>0</v>
      </c>
      <c r="F51" s="342">
        <f>Grunddaten_Antrag!$E$50</f>
        <v>0</v>
      </c>
      <c r="G51" s="475"/>
      <c r="H51" s="475"/>
      <c r="I51" s="296">
        <f>IF(Grunddaten_Antrag!$E$56="Ja",(G51+H51)/100*20.678,0)</f>
        <v>0</v>
      </c>
      <c r="J51" s="301"/>
      <c r="K51" s="309">
        <f>IFERROR(IF(Grunddaten_Antrag!$E$56="ja",Q51/R51,J51/R51),0)</f>
        <v>0</v>
      </c>
      <c r="M51" s="298">
        <f t="shared" si="0"/>
        <v>0</v>
      </c>
      <c r="N51" s="298">
        <f t="shared" si="1"/>
        <v>0</v>
      </c>
      <c r="O51" s="298">
        <f t="shared" si="2"/>
        <v>0</v>
      </c>
      <c r="P51" s="298">
        <f t="shared" si="3"/>
        <v>0</v>
      </c>
      <c r="Q51" s="297">
        <f>IF(Grunddaten_Antrag!$E$56="Ja",(G51+H51)/100*20.678,0)</f>
        <v>0</v>
      </c>
      <c r="R51" s="41">
        <f t="shared" si="4"/>
        <v>0</v>
      </c>
    </row>
    <row r="52" spans="2:18" ht="24.95" customHeight="1" x14ac:dyDescent="0.2">
      <c r="B52" s="339">
        <f>Personal!B87</f>
        <v>0</v>
      </c>
      <c r="C52" s="340">
        <f>Personal!E87</f>
        <v>0</v>
      </c>
      <c r="D52" s="341" t="str">
        <f>Personal!I87</f>
        <v xml:space="preserve"> </v>
      </c>
      <c r="E52" s="342">
        <f>Personal!J87</f>
        <v>0</v>
      </c>
      <c r="F52" s="342">
        <f>Grunddaten_Antrag!$E$50</f>
        <v>0</v>
      </c>
      <c r="G52" s="475"/>
      <c r="H52" s="475"/>
      <c r="I52" s="296">
        <f>IF(Grunddaten_Antrag!$E$56="Ja",(G52+H52)/100*20.678,0)</f>
        <v>0</v>
      </c>
      <c r="J52" s="301"/>
      <c r="K52" s="309">
        <f>IFERROR(IF(Grunddaten_Antrag!$E$56="ja",Q52/R52,J52/R52),0)</f>
        <v>0</v>
      </c>
      <c r="M52" s="298">
        <f>SUM(G52+H52+I52)</f>
        <v>0</v>
      </c>
      <c r="N52" s="298">
        <f t="shared" si="1"/>
        <v>0</v>
      </c>
      <c r="O52" s="298">
        <f t="shared" si="2"/>
        <v>0</v>
      </c>
      <c r="P52" s="298">
        <f t="shared" si="3"/>
        <v>0</v>
      </c>
      <c r="Q52" s="297">
        <f>IF(Grunddaten_Antrag!$E$56="Ja",(G52+H52)/100*20.678,0)</f>
        <v>0</v>
      </c>
      <c r="R52" s="41">
        <f t="shared" si="4"/>
        <v>0</v>
      </c>
    </row>
    <row r="53" spans="2:18" ht="24.95" customHeight="1" thickBot="1" x14ac:dyDescent="0.25">
      <c r="B53" s="727" t="s">
        <v>120</v>
      </c>
      <c r="C53" s="728"/>
      <c r="D53" s="728"/>
      <c r="E53" s="728"/>
      <c r="F53" s="728"/>
      <c r="G53" s="306">
        <f>IF(Grunddaten_Antrag!E55="ja",SUM(G13:G52),0)</f>
        <v>0</v>
      </c>
      <c r="H53" s="306">
        <f>IF(AND(Grunddaten_Antrag!E55="ja",Grunddaten_Antrag!E51="ja"),SUM(H13:H52),0)</f>
        <v>0</v>
      </c>
      <c r="I53" s="306">
        <f>IF(AND(Grunddaten_Antrag!$E$55="Ja",Grunddaten_Antrag!$E$56="Ja"),SUM(I13:I52),0)</f>
        <v>0</v>
      </c>
      <c r="J53" s="303">
        <f>IF(AND(Grunddaten_Antrag!$E$55="Ja",Grunddaten_Antrag!$E$56="nein"),SUM(J13:J52),)</f>
        <v>0</v>
      </c>
      <c r="K53" s="307"/>
    </row>
  </sheetData>
  <sheetProtection password="C8C7" sheet="1" objects="1" scenarios="1"/>
  <mergeCells count="19">
    <mergeCell ref="B1:C1"/>
    <mergeCell ref="B2:C2"/>
    <mergeCell ref="B3:C3"/>
    <mergeCell ref="D1:I1"/>
    <mergeCell ref="D2:I2"/>
    <mergeCell ref="D3:I3"/>
    <mergeCell ref="B53:F53"/>
    <mergeCell ref="B5:H5"/>
    <mergeCell ref="G10:G12"/>
    <mergeCell ref="H10:H12"/>
    <mergeCell ref="B10:B12"/>
    <mergeCell ref="C10:C12"/>
    <mergeCell ref="D10:D12"/>
    <mergeCell ref="E10:E12"/>
    <mergeCell ref="F10:F12"/>
    <mergeCell ref="B9:K9"/>
    <mergeCell ref="I10:I12"/>
    <mergeCell ref="J10:J12"/>
    <mergeCell ref="K10:K12"/>
  </mergeCells>
  <dataValidations count="3">
    <dataValidation type="decimal" allowBlank="1" showErrorMessage="1" errorTitle="AMZ" error="Die gezahlte AMZ kann in der Sonderzahlung 200,-€  pro Jahr nicht überschreiten." sqref="H13:H52">
      <formula1>0</formula1>
      <formula2>200</formula2>
    </dataValidation>
    <dataValidation type="decimal" allowBlank="1" showErrorMessage="1" errorTitle="AMZ" error="Die gezahlte AMZ kann nicht höher als 200,-€  pro Monat sein." sqref="G13:G52 F12:F52 D13:E52">
      <formula1>0</formula1>
      <formula2>2400</formula2>
    </dataValidation>
    <dataValidation allowBlank="1" showErrorMessage="1" errorTitle="AMZ" error="Die gezahlte AMZ kann nicht höher als 200,-€  pro Monat sein." sqref="B13:B53 C13:C52"/>
  </dataValidations>
  <pageMargins left="0.31496062992125984" right="0.23622047244094491" top="1.2598425196850394" bottom="0.74803149606299213" header="0.31496062992125984" footer="0.31496062992125984"/>
  <pageSetup paperSize="9" scale="52" orientation="portrait" r:id="rId1"/>
  <headerFooter>
    <oddHeader>&amp;R&amp;G</oddHeader>
    <oddFooter>&amp;LStand: 30.06.2020&amp;CMFF-Endabrechnung 2019
&amp;A
&amp;P&amp;R&amp;G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2" id="{3ABB92EF-80C1-4C07-B8E2-63A615D670FC}">
            <xm:f>C13=Tabelle2!$M$13</xm:f>
            <x14:dxf>
              <fill>
                <patternFill>
                  <bgColor theme="1" tint="0.14996795556505021"/>
                </patternFill>
              </fill>
            </x14:dxf>
          </x14:cfRule>
          <x14:cfRule type="expression" priority="33" id="{26CD3A00-A66C-4254-B661-57400FF8F26C}">
            <xm:f>C13=Tabelle2!$M$14</xm:f>
            <x14:dxf>
              <fill>
                <patternFill>
                  <bgColor theme="1" tint="0.14996795556505021"/>
                </patternFill>
              </fill>
            </x14:dxf>
          </x14:cfRule>
          <x14:cfRule type="expression" priority="34" id="{195910A4-86E1-4C14-ADF4-F8ECBADA11E2}">
            <xm:f>C13=Tabelle2!$M$15</xm:f>
            <x14:dxf>
              <fill>
                <patternFill>
                  <bgColor theme="1" tint="0.14996795556505021"/>
                </patternFill>
              </fill>
            </x14:dxf>
          </x14:cfRule>
          <xm:sqref>K13:K52</xm:sqref>
        </x14:conditionalFormatting>
        <x14:conditionalFormatting xmlns:xm="http://schemas.microsoft.com/office/excel/2006/main">
          <x14:cfRule type="expression" priority="47" id="{7B1F3064-FB0B-4C88-994D-26C7222164FF}">
            <xm:f>Grunddaten_Antrag!$E$55="nein"</xm:f>
            <x14:dxf>
              <fill>
                <patternFill>
                  <bgColor theme="1" tint="0.14996795556505021"/>
                </patternFill>
              </fill>
            </x14:dxf>
          </x14:cfRule>
          <xm:sqref>G13:G52 J13:J52</xm:sqref>
        </x14:conditionalFormatting>
        <x14:conditionalFormatting xmlns:xm="http://schemas.microsoft.com/office/excel/2006/main">
          <x14:cfRule type="expression" priority="2" id="{0D1B61D8-D7D4-4AC9-BC8F-674ABB7EABEE}">
            <xm:f>Grunddaten_Antrag!$E$51="nein"</xm:f>
            <x14:dxf>
              <fill>
                <patternFill>
                  <bgColor theme="1"/>
                </patternFill>
              </fill>
            </x14:dxf>
          </x14:cfRule>
          <x14:cfRule type="expression" priority="4" id="{F9638E33-AD7B-4DFC-A9EA-DAD6ED83BB38}">
            <xm:f>Grunddaten_Antrag!$E$55="nein"</xm:f>
            <x14:dxf>
              <fill>
                <patternFill>
                  <bgColor theme="1"/>
                </patternFill>
              </fill>
            </x14:dxf>
          </x14:cfRule>
          <xm:sqref>H13:H52</xm:sqref>
        </x14:conditionalFormatting>
        <x14:conditionalFormatting xmlns:xm="http://schemas.microsoft.com/office/excel/2006/main">
          <x14:cfRule type="expression" priority="237" id="{35A5C39B-1A9D-4D59-9051-0CA059C0CE25}">
            <xm:f>#REF!=Tabelle2!$M$13</xm:f>
            <x14:dxf>
              <fill>
                <patternFill>
                  <bgColor theme="1" tint="0.14996795556505021"/>
                </patternFill>
              </fill>
            </x14:dxf>
          </x14:cfRule>
          <x14:cfRule type="expression" priority="238" id="{5885C562-6AC1-4354-A229-38AF05DD162B}">
            <xm:f>#REF!=Tabelle2!$M$14</xm:f>
            <x14:dxf>
              <fill>
                <patternFill>
                  <bgColor theme="1" tint="0.14996795556505021"/>
                </patternFill>
              </fill>
            </x14:dxf>
          </x14:cfRule>
          <x14:cfRule type="expression" priority="239" id="{7B756E04-0017-494F-B25E-863F147F5091}">
            <xm:f>#REF!=Tabelle2!$M$15</xm:f>
            <x14:dxf>
              <fill>
                <patternFill>
                  <bgColor theme="1" tint="0.14996795556505021"/>
                </patternFill>
              </fill>
            </x14:dxf>
          </x14:cfRule>
          <x14:cfRule type="expression" priority="240" id="{0B1ED600-17F9-45D1-9DC6-1B01A3E13EF9}">
            <xm:f>Grunddaten_Antrag!#REF!="ja"</xm:f>
            <x14:dxf>
              <fill>
                <patternFill>
                  <bgColor theme="1" tint="0.14996795556505021"/>
                </patternFill>
              </fill>
            </x14:dxf>
          </x14:cfRule>
          <xm:sqref>J13:J52</xm:sqref>
        </x14:conditionalFormatting>
        <x14:conditionalFormatting xmlns:xm="http://schemas.microsoft.com/office/excel/2006/main">
          <x14:cfRule type="expression" priority="241" id="{4401C155-F494-4A24-B57B-E2ECF2FFF4E2}">
            <xm:f>Grunddaten_Antrag!#REF!="nein"</xm:f>
            <x14:dxf>
              <fill>
                <patternFill>
                  <bgColor theme="1"/>
                </patternFill>
              </fill>
            </x14:dxf>
          </x14:cfRule>
          <x14:cfRule type="expression" priority="242" id="{70BFAD76-2D87-453E-9147-FFA5EED4BE00}">
            <xm:f>Grunddaten_Antrag!$E$55="nein"</xm:f>
            <x14:dxf>
              <fill>
                <patternFill>
                  <bgColor theme="1"/>
                </patternFill>
              </fill>
            </x14:dxf>
          </x14:cfRule>
          <xm:sqref>I13:I52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A10" zoomScaleNormal="100" workbookViewId="0">
      <selection activeCell="I54" sqref="I54"/>
    </sheetView>
  </sheetViews>
  <sheetFormatPr baseColWidth="10" defaultRowHeight="12.75" x14ac:dyDescent="0.2"/>
  <cols>
    <col min="1" max="1" width="3.85546875" style="83" customWidth="1"/>
    <col min="2" max="2" width="12" style="176" customWidth="1"/>
    <col min="3" max="3" width="17.140625" style="176" customWidth="1"/>
    <col min="4" max="4" width="0.140625" style="176" hidden="1" customWidth="1"/>
    <col min="5" max="5" width="12.5703125" style="176" customWidth="1"/>
    <col min="6" max="6" width="10" style="176" customWidth="1"/>
    <col min="7" max="7" width="14.7109375" style="176" customWidth="1"/>
    <col min="8" max="8" width="33.7109375" style="176" customWidth="1"/>
    <col min="9" max="9" width="20.7109375" style="176" customWidth="1"/>
    <col min="10" max="10" width="16.7109375" style="176" customWidth="1"/>
    <col min="11" max="11" width="16.28515625" style="176" customWidth="1"/>
    <col min="12" max="12" width="22.140625" style="176" customWidth="1"/>
    <col min="13" max="13" width="23.85546875" style="176" customWidth="1"/>
    <col min="14" max="14" width="0" style="176" hidden="1" customWidth="1"/>
    <col min="15" max="15" width="19.140625" style="176" hidden="1" customWidth="1"/>
    <col min="16" max="16" width="26.42578125" style="176" hidden="1" customWidth="1"/>
    <col min="17" max="17" width="18.5703125" style="176" hidden="1" customWidth="1"/>
    <col min="18" max="18" width="11.42578125" style="176" hidden="1" customWidth="1"/>
    <col min="19" max="19" width="0" style="176" hidden="1" customWidth="1"/>
    <col min="20" max="16384" width="11.42578125" style="176"/>
  </cols>
  <sheetData>
    <row r="1" spans="1:17" ht="13.5" thickBot="1" x14ac:dyDescent="0.25"/>
    <row r="2" spans="1:17" s="51" customFormat="1" ht="20.100000000000001" customHeight="1" x14ac:dyDescent="0.2">
      <c r="A2" s="83"/>
      <c r="B2" s="738" t="s">
        <v>26</v>
      </c>
      <c r="C2" s="739"/>
      <c r="D2" s="337">
        <f>Grunddaten_Antrag!E14</f>
        <v>0</v>
      </c>
      <c r="E2" s="739">
        <f>Grunddaten_Antrag!E14</f>
        <v>0</v>
      </c>
      <c r="F2" s="739"/>
      <c r="G2" s="739"/>
      <c r="H2" s="739"/>
      <c r="I2" s="739"/>
      <c r="J2" s="756"/>
    </row>
    <row r="3" spans="1:17" s="51" customFormat="1" ht="20.100000000000001" customHeight="1" x14ac:dyDescent="0.2">
      <c r="A3" s="83"/>
      <c r="B3" s="740" t="s">
        <v>27</v>
      </c>
      <c r="C3" s="741"/>
      <c r="D3" s="332">
        <f>Grunddaten_Antrag!E23</f>
        <v>0</v>
      </c>
      <c r="E3" s="741">
        <f>Grunddaten_Antrag!E23</f>
        <v>0</v>
      </c>
      <c r="F3" s="741"/>
      <c r="G3" s="741"/>
      <c r="H3" s="741"/>
      <c r="I3" s="741"/>
      <c r="J3" s="757"/>
    </row>
    <row r="4" spans="1:17" s="51" customFormat="1" ht="20.100000000000001" customHeight="1" thickBot="1" x14ac:dyDescent="0.25">
      <c r="A4" s="83"/>
      <c r="B4" s="742" t="s">
        <v>28</v>
      </c>
      <c r="C4" s="743"/>
      <c r="D4" s="338">
        <f>Grunddaten_Antrag!E24</f>
        <v>0</v>
      </c>
      <c r="E4" s="743">
        <f>Grunddaten_Antrag!E24</f>
        <v>0</v>
      </c>
      <c r="F4" s="743"/>
      <c r="G4" s="743"/>
      <c r="H4" s="743"/>
      <c r="I4" s="743"/>
      <c r="J4" s="758"/>
    </row>
    <row r="5" spans="1:17" ht="12.75" customHeight="1" x14ac:dyDescent="0.2"/>
    <row r="6" spans="1:17" ht="17.25" customHeight="1" x14ac:dyDescent="0.25">
      <c r="B6" s="463" t="str">
        <f>Grunddaten_Antrag!B10</f>
        <v>Endabrechnung auf Leistungen für den Bewilligungszeitraum (BWZ) 1. Januar - 31. Dezember 2019</v>
      </c>
      <c r="C6" s="463"/>
      <c r="D6" s="463"/>
      <c r="E6" s="463"/>
      <c r="F6" s="463"/>
      <c r="G6" s="463"/>
      <c r="H6" s="463"/>
      <c r="I6" s="458"/>
      <c r="J6" s="458"/>
    </row>
    <row r="7" spans="1:17" ht="16.5" customHeight="1" x14ac:dyDescent="0.25">
      <c r="B7" s="173" t="str">
        <f>Grunddaten_Antrag!B11</f>
        <v>Teil 2</v>
      </c>
      <c r="C7" s="51"/>
      <c r="D7" s="51"/>
    </row>
    <row r="9" spans="1:17" ht="13.5" thickBot="1" x14ac:dyDescent="0.25"/>
    <row r="10" spans="1:17" s="51" customFormat="1" ht="19.5" customHeight="1" x14ac:dyDescent="0.2">
      <c r="A10" s="83">
        <v>82</v>
      </c>
      <c r="B10" s="753" t="s">
        <v>261</v>
      </c>
      <c r="C10" s="754"/>
      <c r="D10" s="754"/>
      <c r="E10" s="754"/>
      <c r="F10" s="754"/>
      <c r="G10" s="754"/>
      <c r="H10" s="754"/>
      <c r="I10" s="754"/>
      <c r="J10" s="754"/>
      <c r="K10" s="754"/>
      <c r="L10" s="755"/>
    </row>
    <row r="11" spans="1:17" s="51" customFormat="1" ht="20.100000000000001" customHeight="1" x14ac:dyDescent="0.2">
      <c r="A11" s="83">
        <v>83</v>
      </c>
      <c r="B11" s="760" t="s">
        <v>6</v>
      </c>
      <c r="C11" s="765" t="s">
        <v>258</v>
      </c>
      <c r="D11" s="457"/>
      <c r="E11" s="765" t="s">
        <v>401</v>
      </c>
      <c r="F11" s="765" t="s">
        <v>8</v>
      </c>
      <c r="G11" s="765" t="s">
        <v>469</v>
      </c>
      <c r="H11" s="759" t="s">
        <v>402</v>
      </c>
      <c r="I11" s="733" t="s">
        <v>403</v>
      </c>
      <c r="J11" s="733" t="s">
        <v>418</v>
      </c>
      <c r="K11" s="733" t="s">
        <v>419</v>
      </c>
      <c r="L11" s="737" t="s">
        <v>420</v>
      </c>
    </row>
    <row r="12" spans="1:17" s="51" customFormat="1" ht="20.100000000000001" customHeight="1" x14ac:dyDescent="0.2">
      <c r="A12" s="83"/>
      <c r="B12" s="761"/>
      <c r="C12" s="766"/>
      <c r="D12" s="457"/>
      <c r="E12" s="766"/>
      <c r="F12" s="766"/>
      <c r="G12" s="766"/>
      <c r="H12" s="759"/>
      <c r="I12" s="733"/>
      <c r="J12" s="733"/>
      <c r="K12" s="733"/>
      <c r="L12" s="737"/>
    </row>
    <row r="13" spans="1:17" s="51" customFormat="1" ht="167.25" customHeight="1" x14ac:dyDescent="0.2">
      <c r="A13" s="83"/>
      <c r="B13" s="762"/>
      <c r="C13" s="767"/>
      <c r="D13" s="459"/>
      <c r="E13" s="767"/>
      <c r="F13" s="767"/>
      <c r="G13" s="767"/>
      <c r="H13" s="759"/>
      <c r="I13" s="733"/>
      <c r="J13" s="733"/>
      <c r="K13" s="733"/>
      <c r="L13" s="737"/>
      <c r="O13" t="s">
        <v>342</v>
      </c>
      <c r="P13" t="s">
        <v>339</v>
      </c>
      <c r="Q13"/>
    </row>
    <row r="14" spans="1:17" s="51" customFormat="1" ht="24.95" customHeight="1" x14ac:dyDescent="0.2">
      <c r="A14" s="83">
        <v>84</v>
      </c>
      <c r="B14" s="302">
        <f>Personal!B48</f>
        <v>0</v>
      </c>
      <c r="C14" s="275">
        <f>Personal!E48</f>
        <v>0</v>
      </c>
      <c r="D14" s="275" t="s">
        <v>96</v>
      </c>
      <c r="E14" s="274">
        <f>Personal!F48</f>
        <v>0</v>
      </c>
      <c r="F14" s="276" t="str">
        <f>Personal!I48</f>
        <v xml:space="preserve"> </v>
      </c>
      <c r="G14" s="277">
        <f>Personal!J48</f>
        <v>0</v>
      </c>
      <c r="H14" s="104"/>
      <c r="I14" s="296">
        <f>IF(Grunddaten_Antrag!$E$56="Ja",H14/100*20.678,0)</f>
        <v>0</v>
      </c>
      <c r="J14" s="301"/>
      <c r="K14" s="308">
        <f>IFERROR(IF(Grunddaten_Antrag!$E$56="ja",Q14/H14,J14/H14),0)</f>
        <v>0</v>
      </c>
      <c r="L14" s="478" t="str">
        <f>IF(AND(AMZ!K13&lt;&gt;'S8b Ausgleich'!K14,AMZ!K13&lt;&gt;0),"SV-Anteil überprüfen","OK")</f>
        <v>OK</v>
      </c>
      <c r="O14" s="298">
        <f>H14+I14</f>
        <v>0</v>
      </c>
      <c r="P14" s="298">
        <f>H14+J14</f>
        <v>0</v>
      </c>
      <c r="Q14" s="299">
        <f>IF(Grunddaten_Antrag!$E$56="Ja",H14/100*20.678,0)</f>
        <v>0</v>
      </c>
    </row>
    <row r="15" spans="1:17" s="51" customFormat="1" ht="24.95" customHeight="1" x14ac:dyDescent="0.2">
      <c r="A15" s="83"/>
      <c r="B15" s="302">
        <f>Personal!B49</f>
        <v>0</v>
      </c>
      <c r="C15" s="275">
        <f>Personal!E49</f>
        <v>0</v>
      </c>
      <c r="D15" s="275" t="s">
        <v>96</v>
      </c>
      <c r="E15" s="274">
        <f>Personal!F49</f>
        <v>0</v>
      </c>
      <c r="F15" s="276" t="str">
        <f>Personal!I49</f>
        <v xml:space="preserve"> </v>
      </c>
      <c r="G15" s="277">
        <f>Personal!J49</f>
        <v>0</v>
      </c>
      <c r="H15" s="104"/>
      <c r="I15" s="296">
        <f>IF(Grunddaten_Antrag!$E$56="Ja",H15/100*20.678,0)</f>
        <v>0</v>
      </c>
      <c r="J15" s="301"/>
      <c r="K15" s="308">
        <f>IFERROR(IF(Grunddaten_Antrag!$E$56="ja",Q15/H15,J15/H15),0)</f>
        <v>0</v>
      </c>
      <c r="L15" s="478" t="str">
        <f>IF(AND(AMZ!K14&lt;&gt;'S8b Ausgleich'!K15,AMZ!K14&lt;&gt;0),"SV-Anteil überprüfen","OK")</f>
        <v>OK</v>
      </c>
      <c r="O15" s="298">
        <f t="shared" ref="O15:O53" si="0">H15+I15</f>
        <v>0</v>
      </c>
      <c r="P15" s="298">
        <f t="shared" ref="P15:P53" si="1">H15+J15</f>
        <v>0</v>
      </c>
      <c r="Q15" s="299">
        <f>IF(Grunddaten_Antrag!$E$56="Ja",H15/100*20.678,0)</f>
        <v>0</v>
      </c>
    </row>
    <row r="16" spans="1:17" s="51" customFormat="1" ht="24.95" customHeight="1" x14ac:dyDescent="0.2">
      <c r="A16" s="83"/>
      <c r="B16" s="302">
        <f>Personal!B50</f>
        <v>0</v>
      </c>
      <c r="C16" s="275">
        <f>Personal!E50</f>
        <v>0</v>
      </c>
      <c r="D16" s="275" t="s">
        <v>96</v>
      </c>
      <c r="E16" s="274">
        <f>Personal!F50</f>
        <v>0</v>
      </c>
      <c r="F16" s="276" t="str">
        <f>Personal!I50</f>
        <v xml:space="preserve"> </v>
      </c>
      <c r="G16" s="277">
        <f>Personal!J50</f>
        <v>0</v>
      </c>
      <c r="H16" s="104"/>
      <c r="I16" s="296">
        <f>IF(Grunddaten_Antrag!$E$56="Ja",H16/100*20.678,0)</f>
        <v>0</v>
      </c>
      <c r="J16" s="301"/>
      <c r="K16" s="308">
        <f>IFERROR(IF(Grunddaten_Antrag!$E$56="ja",Q16/H16,J16/H16),0)</f>
        <v>0</v>
      </c>
      <c r="L16" s="478" t="str">
        <f>IF(AND(AMZ!K15&lt;&gt;'S8b Ausgleich'!K16,AMZ!K15&lt;&gt;0),"SV-Anteil überprüfen","OK")</f>
        <v>OK</v>
      </c>
      <c r="O16" s="298">
        <f t="shared" si="0"/>
        <v>0</v>
      </c>
      <c r="P16" s="298">
        <f t="shared" si="1"/>
        <v>0</v>
      </c>
      <c r="Q16" s="299">
        <f>IF(Grunddaten_Antrag!$E$56="Ja",H16/100*20.678,0)</f>
        <v>0</v>
      </c>
    </row>
    <row r="17" spans="1:17" s="51" customFormat="1" ht="24.95" customHeight="1" x14ac:dyDescent="0.2">
      <c r="A17" s="83"/>
      <c r="B17" s="302">
        <f>Personal!B51</f>
        <v>0</v>
      </c>
      <c r="C17" s="275">
        <f>Personal!E51</f>
        <v>0</v>
      </c>
      <c r="D17" s="275" t="s">
        <v>96</v>
      </c>
      <c r="E17" s="274">
        <f>Personal!F51</f>
        <v>0</v>
      </c>
      <c r="F17" s="276" t="str">
        <f>Personal!I51</f>
        <v xml:space="preserve"> </v>
      </c>
      <c r="G17" s="277">
        <f>Personal!J51</f>
        <v>0</v>
      </c>
      <c r="H17" s="104"/>
      <c r="I17" s="296">
        <f>IF(Grunddaten_Antrag!$E$56="Ja",H17/100*20.678,0)</f>
        <v>0</v>
      </c>
      <c r="J17" s="301"/>
      <c r="K17" s="308">
        <f>IFERROR(IF(Grunddaten_Antrag!$E$56="ja",Q17/H17,J17/H17),0)</f>
        <v>0</v>
      </c>
      <c r="L17" s="478" t="str">
        <f>IF(AND(AMZ!K16&lt;&gt;'S8b Ausgleich'!K17,AMZ!K16&lt;&gt;0),"SV-Anteil überprüfen","OK")</f>
        <v>OK</v>
      </c>
      <c r="O17" s="298">
        <f t="shared" si="0"/>
        <v>0</v>
      </c>
      <c r="P17" s="298">
        <f t="shared" si="1"/>
        <v>0</v>
      </c>
      <c r="Q17" s="299">
        <f>IF(Grunddaten_Antrag!$E$56="Ja",H17/100*20.678,0)</f>
        <v>0</v>
      </c>
    </row>
    <row r="18" spans="1:17" s="51" customFormat="1" ht="24.95" customHeight="1" x14ac:dyDescent="0.2">
      <c r="A18" s="83"/>
      <c r="B18" s="302">
        <f>Personal!B52</f>
        <v>0</v>
      </c>
      <c r="C18" s="275">
        <f>Personal!E52</f>
        <v>0</v>
      </c>
      <c r="D18" s="275" t="s">
        <v>96</v>
      </c>
      <c r="E18" s="274">
        <f>Personal!F52</f>
        <v>0</v>
      </c>
      <c r="F18" s="276" t="str">
        <f>Personal!I52</f>
        <v xml:space="preserve"> </v>
      </c>
      <c r="G18" s="277">
        <f>Personal!J52</f>
        <v>0</v>
      </c>
      <c r="H18" s="104"/>
      <c r="I18" s="296">
        <f>IF(Grunddaten_Antrag!$E$56="Ja",H18/100*20.678,0)</f>
        <v>0</v>
      </c>
      <c r="J18" s="301"/>
      <c r="K18" s="308">
        <f>IFERROR(IF(Grunddaten_Antrag!$E$56="ja",Q18/H18,J18/H18),0)</f>
        <v>0</v>
      </c>
      <c r="L18" s="478" t="str">
        <f>IF(AND(AMZ!K17&lt;&gt;'S8b Ausgleich'!K18,AMZ!K17&lt;&gt;0),"SV-Anteil überprüfen","OK")</f>
        <v>OK</v>
      </c>
      <c r="O18" s="298">
        <f t="shared" si="0"/>
        <v>0</v>
      </c>
      <c r="P18" s="298">
        <f t="shared" si="1"/>
        <v>0</v>
      </c>
      <c r="Q18" s="299">
        <f>IF(Grunddaten_Antrag!$E$56="Ja",H18/100*20.678,0)</f>
        <v>0</v>
      </c>
    </row>
    <row r="19" spans="1:17" s="51" customFormat="1" ht="24.95" customHeight="1" x14ac:dyDescent="0.2">
      <c r="A19" s="83"/>
      <c r="B19" s="302">
        <f>Personal!B53</f>
        <v>0</v>
      </c>
      <c r="C19" s="275">
        <f>Personal!E53</f>
        <v>0</v>
      </c>
      <c r="D19" s="275" t="s">
        <v>96</v>
      </c>
      <c r="E19" s="274">
        <f>Personal!F53</f>
        <v>0</v>
      </c>
      <c r="F19" s="276" t="str">
        <f>Personal!I53</f>
        <v xml:space="preserve"> </v>
      </c>
      <c r="G19" s="277">
        <f>Personal!J53</f>
        <v>0</v>
      </c>
      <c r="H19" s="104"/>
      <c r="I19" s="296">
        <f>IF(Grunddaten_Antrag!$E$56="Ja",H19/100*20.678,0)</f>
        <v>0</v>
      </c>
      <c r="J19" s="301"/>
      <c r="K19" s="308">
        <f>IFERROR(IF(Grunddaten_Antrag!$E$56="ja",Q19/H19,J19/H19),0)</f>
        <v>0</v>
      </c>
      <c r="L19" s="478" t="str">
        <f>IF(AND(AMZ!K18&lt;&gt;'S8b Ausgleich'!K19,AMZ!K18&lt;&gt;0),"SV-Anteil überprüfen","OK")</f>
        <v>OK</v>
      </c>
      <c r="O19" s="298">
        <f t="shared" si="0"/>
        <v>0</v>
      </c>
      <c r="P19" s="298">
        <f t="shared" si="1"/>
        <v>0</v>
      </c>
      <c r="Q19" s="299">
        <f>IF(Grunddaten_Antrag!$E$56="Ja",H19/100*20.678,0)</f>
        <v>0</v>
      </c>
    </row>
    <row r="20" spans="1:17" s="51" customFormat="1" ht="24.95" customHeight="1" x14ac:dyDescent="0.2">
      <c r="A20" s="83"/>
      <c r="B20" s="302">
        <f>Personal!B54</f>
        <v>0</v>
      </c>
      <c r="C20" s="275">
        <f>Personal!E54</f>
        <v>0</v>
      </c>
      <c r="D20" s="275" t="s">
        <v>96</v>
      </c>
      <c r="E20" s="274">
        <f>Personal!F54</f>
        <v>0</v>
      </c>
      <c r="F20" s="276" t="str">
        <f>Personal!I54</f>
        <v xml:space="preserve"> </v>
      </c>
      <c r="G20" s="277">
        <f>Personal!J54</f>
        <v>0</v>
      </c>
      <c r="H20" s="104"/>
      <c r="I20" s="296">
        <f>IF(Grunddaten_Antrag!$E$56="Ja",H20/100*20.678,0)</f>
        <v>0</v>
      </c>
      <c r="J20" s="301"/>
      <c r="K20" s="308">
        <f>IFERROR(IF(Grunddaten_Antrag!$E$56="ja",Q20/H20,J20/H20),0)</f>
        <v>0</v>
      </c>
      <c r="L20" s="478" t="str">
        <f>IF(AND(AMZ!K19&lt;&gt;'S8b Ausgleich'!K20,AMZ!K19&lt;&gt;0),"SV-Anteil überprüfen","OK")</f>
        <v>OK</v>
      </c>
      <c r="O20" s="298">
        <f t="shared" si="0"/>
        <v>0</v>
      </c>
      <c r="P20" s="298">
        <f t="shared" si="1"/>
        <v>0</v>
      </c>
      <c r="Q20" s="299">
        <f>IF(Grunddaten_Antrag!$E$56="Ja",H20/100*20.678,0)</f>
        <v>0</v>
      </c>
    </row>
    <row r="21" spans="1:17" s="51" customFormat="1" ht="24.95" customHeight="1" x14ac:dyDescent="0.2">
      <c r="A21" s="83"/>
      <c r="B21" s="302">
        <f>Personal!B55</f>
        <v>0</v>
      </c>
      <c r="C21" s="275">
        <f>Personal!E55</f>
        <v>0</v>
      </c>
      <c r="D21" s="275" t="s">
        <v>96</v>
      </c>
      <c r="E21" s="274">
        <f>Personal!F55</f>
        <v>0</v>
      </c>
      <c r="F21" s="276" t="str">
        <f>Personal!I55</f>
        <v xml:space="preserve"> </v>
      </c>
      <c r="G21" s="277">
        <f>Personal!J55</f>
        <v>0</v>
      </c>
      <c r="H21" s="104"/>
      <c r="I21" s="296">
        <f>IF(Grunddaten_Antrag!$E$56="Ja",H21/100*20.678,0)</f>
        <v>0</v>
      </c>
      <c r="J21" s="301"/>
      <c r="K21" s="308">
        <f>IFERROR(IF(Grunddaten_Antrag!$E$56="ja",Q21/H21,J21/H21),0)</f>
        <v>0</v>
      </c>
      <c r="L21" s="478" t="str">
        <f>IF(AND(AMZ!K20&lt;&gt;'S8b Ausgleich'!K21,AMZ!K20&lt;&gt;0),"SV-Anteil überprüfen","OK")</f>
        <v>OK</v>
      </c>
      <c r="O21" s="298">
        <f t="shared" si="0"/>
        <v>0</v>
      </c>
      <c r="P21" s="298">
        <f t="shared" si="1"/>
        <v>0</v>
      </c>
      <c r="Q21" s="299">
        <f>IF(Grunddaten_Antrag!$E$56="Ja",H21/100*20.678,0)</f>
        <v>0</v>
      </c>
    </row>
    <row r="22" spans="1:17" s="51" customFormat="1" ht="24.95" customHeight="1" x14ac:dyDescent="0.2">
      <c r="A22" s="83"/>
      <c r="B22" s="302">
        <f>Personal!B56</f>
        <v>0</v>
      </c>
      <c r="C22" s="275">
        <f>Personal!E56</f>
        <v>0</v>
      </c>
      <c r="D22" s="275" t="s">
        <v>96</v>
      </c>
      <c r="E22" s="274">
        <f>Personal!F56</f>
        <v>0</v>
      </c>
      <c r="F22" s="276" t="str">
        <f>Personal!I56</f>
        <v xml:space="preserve"> </v>
      </c>
      <c r="G22" s="277">
        <f>Personal!J56</f>
        <v>0</v>
      </c>
      <c r="H22" s="104"/>
      <c r="I22" s="296">
        <f>IF(Grunddaten_Antrag!$E$56="Ja",H22/100*20.678,0)</f>
        <v>0</v>
      </c>
      <c r="J22" s="301"/>
      <c r="K22" s="308">
        <f>IFERROR(IF(Grunddaten_Antrag!$E$56="ja",Q22/H22,J22/H22),0)</f>
        <v>0</v>
      </c>
      <c r="L22" s="478" t="str">
        <f>IF(AND(AMZ!K21&lt;&gt;'S8b Ausgleich'!K22,AMZ!K21&lt;&gt;0),"SV-Anteil überprüfen","OK")</f>
        <v>OK</v>
      </c>
      <c r="O22" s="298">
        <f t="shared" si="0"/>
        <v>0</v>
      </c>
      <c r="P22" s="298">
        <f t="shared" si="1"/>
        <v>0</v>
      </c>
      <c r="Q22" s="299">
        <f>IF(Grunddaten_Antrag!$E$56="Ja",H22/100*20.678,0)</f>
        <v>0</v>
      </c>
    </row>
    <row r="23" spans="1:17" s="51" customFormat="1" ht="24.95" customHeight="1" x14ac:dyDescent="0.2">
      <c r="A23" s="83"/>
      <c r="B23" s="302">
        <f>Personal!B57</f>
        <v>0</v>
      </c>
      <c r="C23" s="275">
        <f>Personal!E57</f>
        <v>0</v>
      </c>
      <c r="D23" s="275" t="s">
        <v>96</v>
      </c>
      <c r="E23" s="274">
        <f>Personal!F57</f>
        <v>0</v>
      </c>
      <c r="F23" s="276" t="str">
        <f>Personal!I57</f>
        <v xml:space="preserve"> </v>
      </c>
      <c r="G23" s="277">
        <f>Personal!J57</f>
        <v>0</v>
      </c>
      <c r="H23" s="104"/>
      <c r="I23" s="296">
        <f>IF(Grunddaten_Antrag!$E$56="Ja",H23/100*20.678,0)</f>
        <v>0</v>
      </c>
      <c r="J23" s="301"/>
      <c r="K23" s="308">
        <f>IFERROR(IF(Grunddaten_Antrag!$E$56="ja",Q23/H23,J23/H23),0)</f>
        <v>0</v>
      </c>
      <c r="L23" s="478" t="str">
        <f>IF(AND(AMZ!K22&lt;&gt;'S8b Ausgleich'!K23,AMZ!K22&lt;&gt;0),"SV-Anteil überprüfen","OK")</f>
        <v>OK</v>
      </c>
      <c r="O23" s="298">
        <f t="shared" si="0"/>
        <v>0</v>
      </c>
      <c r="P23" s="298">
        <f t="shared" si="1"/>
        <v>0</v>
      </c>
      <c r="Q23" s="299">
        <f>IF(Grunddaten_Antrag!$E$56="Ja",H23/100*20.678,0)</f>
        <v>0</v>
      </c>
    </row>
    <row r="24" spans="1:17" s="51" customFormat="1" ht="24.95" customHeight="1" x14ac:dyDescent="0.2">
      <c r="A24" s="83"/>
      <c r="B24" s="302">
        <f>Personal!B58</f>
        <v>0</v>
      </c>
      <c r="C24" s="275">
        <f>Personal!E58</f>
        <v>0</v>
      </c>
      <c r="D24" s="275" t="s">
        <v>96</v>
      </c>
      <c r="E24" s="274">
        <f>Personal!F58</f>
        <v>0</v>
      </c>
      <c r="F24" s="276" t="str">
        <f>Personal!I58</f>
        <v xml:space="preserve"> </v>
      </c>
      <c r="G24" s="277">
        <f>Personal!J58</f>
        <v>0</v>
      </c>
      <c r="H24" s="104"/>
      <c r="I24" s="296">
        <f>IF(Grunddaten_Antrag!$E$56="Ja",H24/100*20.678,0)</f>
        <v>0</v>
      </c>
      <c r="J24" s="301"/>
      <c r="K24" s="308">
        <f>IFERROR(IF(Grunddaten_Antrag!$E$56="ja",Q24/H24,J24/H24),0)</f>
        <v>0</v>
      </c>
      <c r="L24" s="478" t="str">
        <f>IF(AND(AMZ!K23&lt;&gt;'S8b Ausgleich'!K24,AMZ!K23&lt;&gt;0),"SV-Anteil überprüfen","OK")</f>
        <v>OK</v>
      </c>
      <c r="O24" s="298">
        <f t="shared" si="0"/>
        <v>0</v>
      </c>
      <c r="P24" s="298">
        <f t="shared" si="1"/>
        <v>0</v>
      </c>
      <c r="Q24" s="299">
        <f>IF(Grunddaten_Antrag!$E$56="Ja",H24/100*20.678,0)</f>
        <v>0</v>
      </c>
    </row>
    <row r="25" spans="1:17" s="51" customFormat="1" ht="24.95" customHeight="1" x14ac:dyDescent="0.2">
      <c r="A25" s="83"/>
      <c r="B25" s="302">
        <f>Personal!B59</f>
        <v>0</v>
      </c>
      <c r="C25" s="275">
        <f>Personal!E59</f>
        <v>0</v>
      </c>
      <c r="D25" s="275" t="s">
        <v>96</v>
      </c>
      <c r="E25" s="274">
        <f>Personal!F59</f>
        <v>0</v>
      </c>
      <c r="F25" s="276" t="str">
        <f>Personal!I59</f>
        <v xml:space="preserve"> </v>
      </c>
      <c r="G25" s="277">
        <f>Personal!J59</f>
        <v>0</v>
      </c>
      <c r="H25" s="104"/>
      <c r="I25" s="296">
        <f>IF(Grunddaten_Antrag!$E$56="Ja",H25/100*20.678,0)</f>
        <v>0</v>
      </c>
      <c r="J25" s="301"/>
      <c r="K25" s="308">
        <f>IFERROR(IF(Grunddaten_Antrag!$E$56="ja",Q25/H25,J25/H25),0)</f>
        <v>0</v>
      </c>
      <c r="L25" s="478" t="str">
        <f>IF(AND(AMZ!K24&lt;&gt;'S8b Ausgleich'!K25,AMZ!K24&lt;&gt;0),"SV-Anteil überprüfen","OK")</f>
        <v>OK</v>
      </c>
      <c r="O25" s="298">
        <f t="shared" si="0"/>
        <v>0</v>
      </c>
      <c r="P25" s="298">
        <f t="shared" si="1"/>
        <v>0</v>
      </c>
      <c r="Q25" s="299">
        <f>IF(Grunddaten_Antrag!$E$56="Ja",H25/100*20.678,0)</f>
        <v>0</v>
      </c>
    </row>
    <row r="26" spans="1:17" s="51" customFormat="1" ht="24.95" customHeight="1" x14ac:dyDescent="0.2">
      <c r="A26" s="83"/>
      <c r="B26" s="302">
        <f>Personal!B60</f>
        <v>0</v>
      </c>
      <c r="C26" s="275">
        <f>Personal!E60</f>
        <v>0</v>
      </c>
      <c r="D26" s="275" t="s">
        <v>96</v>
      </c>
      <c r="E26" s="274">
        <f>Personal!F60</f>
        <v>0</v>
      </c>
      <c r="F26" s="276" t="str">
        <f>Personal!I60</f>
        <v xml:space="preserve"> </v>
      </c>
      <c r="G26" s="277">
        <f>Personal!J60</f>
        <v>0</v>
      </c>
      <c r="H26" s="104"/>
      <c r="I26" s="296">
        <f>IF(Grunddaten_Antrag!$E$56="Ja",H26/100*20.678,0)</f>
        <v>0</v>
      </c>
      <c r="J26" s="301"/>
      <c r="K26" s="308">
        <f>IFERROR(IF(Grunddaten_Antrag!$E$56="ja",Q26/H26,J26/H26),0)</f>
        <v>0</v>
      </c>
      <c r="L26" s="478" t="str">
        <f>IF(AND(AMZ!K25&lt;&gt;'S8b Ausgleich'!K26,AMZ!K25&lt;&gt;0),"SV-Anteil überprüfen","OK")</f>
        <v>OK</v>
      </c>
      <c r="O26" s="298">
        <f t="shared" si="0"/>
        <v>0</v>
      </c>
      <c r="P26" s="298">
        <f t="shared" si="1"/>
        <v>0</v>
      </c>
      <c r="Q26" s="299">
        <f>IF(Grunddaten_Antrag!$E$56="Ja",H26/100*20.678,0)</f>
        <v>0</v>
      </c>
    </row>
    <row r="27" spans="1:17" s="51" customFormat="1" ht="24.95" customHeight="1" x14ac:dyDescent="0.2">
      <c r="A27" s="83"/>
      <c r="B27" s="302">
        <f>Personal!B61</f>
        <v>0</v>
      </c>
      <c r="C27" s="275">
        <f>Personal!E61</f>
        <v>0</v>
      </c>
      <c r="D27" s="275" t="s">
        <v>96</v>
      </c>
      <c r="E27" s="274">
        <f>Personal!F61</f>
        <v>0</v>
      </c>
      <c r="F27" s="276" t="str">
        <f>Personal!I61</f>
        <v xml:space="preserve"> </v>
      </c>
      <c r="G27" s="277">
        <f>Personal!J61</f>
        <v>0</v>
      </c>
      <c r="H27" s="104"/>
      <c r="I27" s="296">
        <f>IF(Grunddaten_Antrag!$E$56="Ja",H27/100*20.678,0)</f>
        <v>0</v>
      </c>
      <c r="J27" s="301"/>
      <c r="K27" s="308">
        <f>IFERROR(IF(Grunddaten_Antrag!$E$56="ja",Q27/H27,J27/H27),0)</f>
        <v>0</v>
      </c>
      <c r="L27" s="478" t="str">
        <f>IF(AND(AMZ!K26&lt;&gt;'S8b Ausgleich'!K27,AMZ!K26&lt;&gt;0),"SV-Anteil überprüfen","OK")</f>
        <v>OK</v>
      </c>
      <c r="O27" s="298">
        <f t="shared" si="0"/>
        <v>0</v>
      </c>
      <c r="P27" s="298">
        <f t="shared" si="1"/>
        <v>0</v>
      </c>
      <c r="Q27" s="299">
        <f>IF(Grunddaten_Antrag!$E$56="Ja",H27/100*20.678,0)</f>
        <v>0</v>
      </c>
    </row>
    <row r="28" spans="1:17" s="51" customFormat="1" ht="24.95" customHeight="1" x14ac:dyDescent="0.2">
      <c r="A28" s="83"/>
      <c r="B28" s="302">
        <f>Personal!B62</f>
        <v>0</v>
      </c>
      <c r="C28" s="275">
        <f>Personal!E62</f>
        <v>0</v>
      </c>
      <c r="D28" s="275" t="s">
        <v>96</v>
      </c>
      <c r="E28" s="274">
        <f>Personal!F62</f>
        <v>0</v>
      </c>
      <c r="F28" s="276" t="str">
        <f>Personal!I62</f>
        <v xml:space="preserve"> </v>
      </c>
      <c r="G28" s="277">
        <f>Personal!J62</f>
        <v>0</v>
      </c>
      <c r="H28" s="104"/>
      <c r="I28" s="296">
        <f>IF(Grunddaten_Antrag!$E$56="Ja",H28/100*20.678,0)</f>
        <v>0</v>
      </c>
      <c r="J28" s="301"/>
      <c r="K28" s="308">
        <f>IFERROR(IF(Grunddaten_Antrag!$E$56="ja",Q28/H28,J28/H28),0)</f>
        <v>0</v>
      </c>
      <c r="L28" s="478" t="str">
        <f>IF(AND(AMZ!K27&lt;&gt;'S8b Ausgleich'!K28,AMZ!K27&lt;&gt;0),"SV-Anteil überprüfen","OK")</f>
        <v>OK</v>
      </c>
      <c r="O28" s="298">
        <f t="shared" si="0"/>
        <v>0</v>
      </c>
      <c r="P28" s="298">
        <f t="shared" si="1"/>
        <v>0</v>
      </c>
      <c r="Q28" s="299">
        <f>IF(Grunddaten_Antrag!$E$56="Ja",H28/100*20.678,0)</f>
        <v>0</v>
      </c>
    </row>
    <row r="29" spans="1:17" s="51" customFormat="1" ht="24.95" customHeight="1" x14ac:dyDescent="0.2">
      <c r="A29" s="83"/>
      <c r="B29" s="302">
        <f>Personal!B63</f>
        <v>0</v>
      </c>
      <c r="C29" s="275">
        <f>Personal!E63</f>
        <v>0</v>
      </c>
      <c r="D29" s="275" t="s">
        <v>96</v>
      </c>
      <c r="E29" s="274">
        <f>Personal!F63</f>
        <v>0</v>
      </c>
      <c r="F29" s="276" t="str">
        <f>Personal!I63</f>
        <v xml:space="preserve"> </v>
      </c>
      <c r="G29" s="277">
        <f>Personal!J63</f>
        <v>0</v>
      </c>
      <c r="H29" s="104"/>
      <c r="I29" s="296">
        <f>IF(Grunddaten_Antrag!$E$56="Ja",H29/100*20.678,0)</f>
        <v>0</v>
      </c>
      <c r="J29" s="301"/>
      <c r="K29" s="308">
        <f>IFERROR(IF(Grunddaten_Antrag!$E$56="ja",Q29/H29,J29/H29),0)</f>
        <v>0</v>
      </c>
      <c r="L29" s="478" t="str">
        <f>IF(AND(AMZ!K28&lt;&gt;'S8b Ausgleich'!K29,AMZ!K28&lt;&gt;0),"SV-Anteil überprüfen","OK")</f>
        <v>OK</v>
      </c>
      <c r="O29" s="298">
        <f t="shared" si="0"/>
        <v>0</v>
      </c>
      <c r="P29" s="298">
        <f t="shared" si="1"/>
        <v>0</v>
      </c>
      <c r="Q29" s="299">
        <f>IF(Grunddaten_Antrag!$E$56="Ja",H29/100*20.678,0)</f>
        <v>0</v>
      </c>
    </row>
    <row r="30" spans="1:17" s="51" customFormat="1" ht="24.95" customHeight="1" x14ac:dyDescent="0.2">
      <c r="A30" s="83"/>
      <c r="B30" s="302">
        <f>Personal!B64</f>
        <v>0</v>
      </c>
      <c r="C30" s="275">
        <f>Personal!E64</f>
        <v>0</v>
      </c>
      <c r="D30" s="275" t="s">
        <v>96</v>
      </c>
      <c r="E30" s="274">
        <f>Personal!F64</f>
        <v>0</v>
      </c>
      <c r="F30" s="276" t="str">
        <f>Personal!I64</f>
        <v xml:space="preserve"> </v>
      </c>
      <c r="G30" s="277">
        <f>Personal!J64</f>
        <v>0</v>
      </c>
      <c r="H30" s="104"/>
      <c r="I30" s="296">
        <f>IF(Grunddaten_Antrag!$E$56="Ja",H30/100*20.678,0)</f>
        <v>0</v>
      </c>
      <c r="J30" s="301"/>
      <c r="K30" s="308">
        <f>IFERROR(IF(Grunddaten_Antrag!$E$56="ja",Q30/H30,J30/H30),0)</f>
        <v>0</v>
      </c>
      <c r="L30" s="478" t="str">
        <f>IF(AND(AMZ!K29&lt;&gt;'S8b Ausgleich'!K30,AMZ!K29&lt;&gt;0),"SV-Anteil überprüfen","OK")</f>
        <v>OK</v>
      </c>
      <c r="O30" s="298">
        <f t="shared" si="0"/>
        <v>0</v>
      </c>
      <c r="P30" s="298">
        <f t="shared" si="1"/>
        <v>0</v>
      </c>
      <c r="Q30" s="299">
        <f>IF(Grunddaten_Antrag!$E$56="Ja",H30/100*20.678,0)</f>
        <v>0</v>
      </c>
    </row>
    <row r="31" spans="1:17" s="51" customFormat="1" ht="24.95" customHeight="1" x14ac:dyDescent="0.2">
      <c r="A31" s="83"/>
      <c r="B31" s="302">
        <f>Personal!B65</f>
        <v>0</v>
      </c>
      <c r="C31" s="275">
        <f>Personal!E65</f>
        <v>0</v>
      </c>
      <c r="D31" s="275" t="s">
        <v>96</v>
      </c>
      <c r="E31" s="274">
        <f>Personal!F65</f>
        <v>0</v>
      </c>
      <c r="F31" s="276" t="str">
        <f>Personal!I65</f>
        <v xml:space="preserve"> </v>
      </c>
      <c r="G31" s="277">
        <f>Personal!J65</f>
        <v>0</v>
      </c>
      <c r="H31" s="104"/>
      <c r="I31" s="296">
        <f>IF(Grunddaten_Antrag!$E$56="Ja",H31/100*20.678,0)</f>
        <v>0</v>
      </c>
      <c r="J31" s="301"/>
      <c r="K31" s="308">
        <f>IFERROR(IF(Grunddaten_Antrag!$E$56="ja",Q31/H31,J31/H31),0)</f>
        <v>0</v>
      </c>
      <c r="L31" s="478" t="str">
        <f>IF(AND(AMZ!K30&lt;&gt;'S8b Ausgleich'!K31,AMZ!K30&lt;&gt;0),"SV-Anteil überprüfen","OK")</f>
        <v>OK</v>
      </c>
      <c r="O31" s="298">
        <f t="shared" si="0"/>
        <v>0</v>
      </c>
      <c r="P31" s="298">
        <f t="shared" si="1"/>
        <v>0</v>
      </c>
      <c r="Q31" s="299">
        <f>IF(Grunddaten_Antrag!$E$56="Ja",H31/100*20.678,0)</f>
        <v>0</v>
      </c>
    </row>
    <row r="32" spans="1:17" s="51" customFormat="1" ht="24.95" customHeight="1" x14ac:dyDescent="0.2">
      <c r="A32" s="83"/>
      <c r="B32" s="302">
        <f>Personal!B66</f>
        <v>0</v>
      </c>
      <c r="C32" s="275">
        <f>Personal!E66</f>
        <v>0</v>
      </c>
      <c r="D32" s="275" t="s">
        <v>96</v>
      </c>
      <c r="E32" s="274">
        <f>Personal!F66</f>
        <v>0</v>
      </c>
      <c r="F32" s="276" t="str">
        <f>Personal!I66</f>
        <v xml:space="preserve"> </v>
      </c>
      <c r="G32" s="277">
        <f>Personal!J66</f>
        <v>0</v>
      </c>
      <c r="H32" s="104"/>
      <c r="I32" s="296">
        <f>IF(Grunddaten_Antrag!$E$56="Ja",H32/100*20.678,0)</f>
        <v>0</v>
      </c>
      <c r="J32" s="301"/>
      <c r="K32" s="308">
        <f>IFERROR(IF(Grunddaten_Antrag!$E$56="ja",Q32/H32,J32/H32),0)</f>
        <v>0</v>
      </c>
      <c r="L32" s="478" t="str">
        <f>IF(AND(AMZ!K31&lt;&gt;'S8b Ausgleich'!K32,AMZ!K31&lt;&gt;0),"SV-Anteil überprüfen","OK")</f>
        <v>OK</v>
      </c>
      <c r="O32" s="298">
        <f t="shared" si="0"/>
        <v>0</v>
      </c>
      <c r="P32" s="298">
        <f t="shared" si="1"/>
        <v>0</v>
      </c>
      <c r="Q32" s="299">
        <f>IF(Grunddaten_Antrag!$E$56="Ja",H32/100*20.678,0)</f>
        <v>0</v>
      </c>
    </row>
    <row r="33" spans="1:17" s="51" customFormat="1" ht="24.95" customHeight="1" x14ac:dyDescent="0.2">
      <c r="A33" s="83"/>
      <c r="B33" s="302">
        <f>Personal!B67</f>
        <v>0</v>
      </c>
      <c r="C33" s="275">
        <f>Personal!E67</f>
        <v>0</v>
      </c>
      <c r="D33" s="275" t="s">
        <v>96</v>
      </c>
      <c r="E33" s="274">
        <f>Personal!F67</f>
        <v>0</v>
      </c>
      <c r="F33" s="276" t="str">
        <f>Personal!I67</f>
        <v xml:space="preserve"> </v>
      </c>
      <c r="G33" s="277">
        <f>Personal!J67</f>
        <v>0</v>
      </c>
      <c r="H33" s="104"/>
      <c r="I33" s="296">
        <f>IF(Grunddaten_Antrag!$E$56="Ja",H33/100*20.678,0)</f>
        <v>0</v>
      </c>
      <c r="J33" s="301"/>
      <c r="K33" s="308">
        <f>IFERROR(IF(Grunddaten_Antrag!$E$56="ja",Q33/H33,J33/H33),0)</f>
        <v>0</v>
      </c>
      <c r="L33" s="478" t="str">
        <f>IF(AND(AMZ!K32&lt;&gt;'S8b Ausgleich'!K33,AMZ!K32&lt;&gt;0),"SV-Anteil überprüfen","OK")</f>
        <v>OK</v>
      </c>
      <c r="O33" s="298">
        <f t="shared" si="0"/>
        <v>0</v>
      </c>
      <c r="P33" s="298">
        <f t="shared" si="1"/>
        <v>0</v>
      </c>
      <c r="Q33" s="299">
        <f>IF(Grunddaten_Antrag!$E$56="Ja",H33/100*20.678,0)</f>
        <v>0</v>
      </c>
    </row>
    <row r="34" spans="1:17" s="51" customFormat="1" ht="24.95" customHeight="1" x14ac:dyDescent="0.2">
      <c r="A34" s="83"/>
      <c r="B34" s="302">
        <f>Personal!B68</f>
        <v>0</v>
      </c>
      <c r="C34" s="275">
        <f>Personal!E68</f>
        <v>0</v>
      </c>
      <c r="D34" s="275" t="s">
        <v>96</v>
      </c>
      <c r="E34" s="274">
        <f>Personal!F68</f>
        <v>0</v>
      </c>
      <c r="F34" s="276" t="str">
        <f>Personal!I68</f>
        <v xml:space="preserve"> </v>
      </c>
      <c r="G34" s="277">
        <f>Personal!J68</f>
        <v>0</v>
      </c>
      <c r="H34" s="104"/>
      <c r="I34" s="296">
        <f>IF(Grunddaten_Antrag!$E$56="Ja",H34/100*20.678,0)</f>
        <v>0</v>
      </c>
      <c r="J34" s="301"/>
      <c r="K34" s="308">
        <f>IFERROR(IF(Grunddaten_Antrag!$E$56="ja",Q34/H34,J34/H34),0)</f>
        <v>0</v>
      </c>
      <c r="L34" s="478" t="str">
        <f>IF(AND(AMZ!K33&lt;&gt;'S8b Ausgleich'!K34,AMZ!K33&lt;&gt;0),"SV-Anteil überprüfen","OK")</f>
        <v>OK</v>
      </c>
      <c r="O34" s="298">
        <f t="shared" si="0"/>
        <v>0</v>
      </c>
      <c r="P34" s="298">
        <f t="shared" si="1"/>
        <v>0</v>
      </c>
      <c r="Q34" s="299">
        <f>IF(Grunddaten_Antrag!$E$56="Ja",H34/100*20.678,0)</f>
        <v>0</v>
      </c>
    </row>
    <row r="35" spans="1:17" s="51" customFormat="1" ht="24.95" customHeight="1" x14ac:dyDescent="0.2">
      <c r="A35" s="83"/>
      <c r="B35" s="302">
        <f>Personal!B69</f>
        <v>0</v>
      </c>
      <c r="C35" s="275">
        <f>Personal!E69</f>
        <v>0</v>
      </c>
      <c r="D35" s="275" t="s">
        <v>96</v>
      </c>
      <c r="E35" s="274">
        <f>Personal!F69</f>
        <v>0</v>
      </c>
      <c r="F35" s="276" t="str">
        <f>Personal!I69</f>
        <v xml:space="preserve"> </v>
      </c>
      <c r="G35" s="277">
        <f>Personal!J69</f>
        <v>0</v>
      </c>
      <c r="H35" s="104"/>
      <c r="I35" s="296">
        <f>IF(Grunddaten_Antrag!$E$56="Ja",H35/100*20.678,0)</f>
        <v>0</v>
      </c>
      <c r="J35" s="301"/>
      <c r="K35" s="308">
        <f>IFERROR(IF(Grunddaten_Antrag!$E$56="ja",Q35/H35,J35/H35),0)</f>
        <v>0</v>
      </c>
      <c r="L35" s="478" t="str">
        <f>IF(AND(AMZ!K34&lt;&gt;'S8b Ausgleich'!K35,AMZ!K34&lt;&gt;0),"SV-Anteil überprüfen","OK")</f>
        <v>OK</v>
      </c>
      <c r="O35" s="298">
        <f t="shared" si="0"/>
        <v>0</v>
      </c>
      <c r="P35" s="298">
        <f t="shared" si="1"/>
        <v>0</v>
      </c>
      <c r="Q35" s="299">
        <f>IF(Grunddaten_Antrag!$E$56="Ja",H35/100*20.678,0)</f>
        <v>0</v>
      </c>
    </row>
    <row r="36" spans="1:17" s="51" customFormat="1" ht="24.95" customHeight="1" x14ac:dyDescent="0.2">
      <c r="A36" s="83"/>
      <c r="B36" s="302">
        <f>Personal!B70</f>
        <v>0</v>
      </c>
      <c r="C36" s="275">
        <f>Personal!E70</f>
        <v>0</v>
      </c>
      <c r="D36" s="275" t="s">
        <v>96</v>
      </c>
      <c r="E36" s="274">
        <f>Personal!F70</f>
        <v>0</v>
      </c>
      <c r="F36" s="276" t="str">
        <f>Personal!I70</f>
        <v xml:space="preserve"> </v>
      </c>
      <c r="G36" s="277">
        <f>Personal!J70</f>
        <v>0</v>
      </c>
      <c r="H36" s="104"/>
      <c r="I36" s="296">
        <f>IF(Grunddaten_Antrag!$E$56="Ja",H36/100*20.678,0)</f>
        <v>0</v>
      </c>
      <c r="J36" s="301"/>
      <c r="K36" s="308">
        <f>IFERROR(IF(Grunddaten_Antrag!$E$56="ja",Q36/H36,J36/H36),0)</f>
        <v>0</v>
      </c>
      <c r="L36" s="478" t="str">
        <f>IF(AND(AMZ!K35&lt;&gt;'S8b Ausgleich'!K36,AMZ!K35&lt;&gt;0),"SV-Anteil überprüfen","OK")</f>
        <v>OK</v>
      </c>
      <c r="O36" s="298">
        <f t="shared" si="0"/>
        <v>0</v>
      </c>
      <c r="P36" s="298">
        <f t="shared" si="1"/>
        <v>0</v>
      </c>
      <c r="Q36" s="299">
        <f>IF(Grunddaten_Antrag!$E$56="Ja",H36/100*20.678,0)</f>
        <v>0</v>
      </c>
    </row>
    <row r="37" spans="1:17" s="51" customFormat="1" ht="24.95" customHeight="1" x14ac:dyDescent="0.2">
      <c r="A37" s="83"/>
      <c r="B37" s="302">
        <f>Personal!B71</f>
        <v>0</v>
      </c>
      <c r="C37" s="275">
        <f>Personal!E71</f>
        <v>0</v>
      </c>
      <c r="D37" s="275" t="s">
        <v>96</v>
      </c>
      <c r="E37" s="274">
        <f>Personal!F71</f>
        <v>0</v>
      </c>
      <c r="F37" s="276" t="str">
        <f>Personal!I71</f>
        <v xml:space="preserve"> </v>
      </c>
      <c r="G37" s="277">
        <f>Personal!J71</f>
        <v>0</v>
      </c>
      <c r="H37" s="104"/>
      <c r="I37" s="296">
        <f>IF(Grunddaten_Antrag!$E$56="Ja",H37/100*20.678,0)</f>
        <v>0</v>
      </c>
      <c r="J37" s="301"/>
      <c r="K37" s="308">
        <f>IFERROR(IF(Grunddaten_Antrag!$E$56="ja",Q37/H37,J37/H37),0)</f>
        <v>0</v>
      </c>
      <c r="L37" s="478" t="str">
        <f>IF(AND(AMZ!K36&lt;&gt;'S8b Ausgleich'!K37,AMZ!K36&lt;&gt;0),"SV-Anteil überprüfen","OK")</f>
        <v>OK</v>
      </c>
      <c r="O37" s="298">
        <f t="shared" si="0"/>
        <v>0</v>
      </c>
      <c r="P37" s="298">
        <f t="shared" si="1"/>
        <v>0</v>
      </c>
      <c r="Q37" s="299">
        <f>IF(Grunddaten_Antrag!$E$56="Ja",H37/100*20.678,0)</f>
        <v>0</v>
      </c>
    </row>
    <row r="38" spans="1:17" s="51" customFormat="1" ht="24.95" customHeight="1" x14ac:dyDescent="0.2">
      <c r="A38" s="83"/>
      <c r="B38" s="302">
        <f>Personal!B72</f>
        <v>0</v>
      </c>
      <c r="C38" s="275">
        <f>Personal!E72</f>
        <v>0</v>
      </c>
      <c r="D38" s="275" t="s">
        <v>96</v>
      </c>
      <c r="E38" s="274">
        <f>Personal!F72</f>
        <v>0</v>
      </c>
      <c r="F38" s="276" t="str">
        <f>Personal!I72</f>
        <v xml:space="preserve"> </v>
      </c>
      <c r="G38" s="277">
        <f>Personal!J72</f>
        <v>0</v>
      </c>
      <c r="H38" s="104"/>
      <c r="I38" s="296">
        <f>IF(Grunddaten_Antrag!$E$56="Ja",H38/100*20.678,0)</f>
        <v>0</v>
      </c>
      <c r="J38" s="301"/>
      <c r="K38" s="308">
        <f>IFERROR(IF(Grunddaten_Antrag!$E$56="ja",Q38/H38,J38/H38),0)</f>
        <v>0</v>
      </c>
      <c r="L38" s="478" t="str">
        <f>IF(AND(AMZ!K37&lt;&gt;'S8b Ausgleich'!K38,AMZ!K37&lt;&gt;0),"SV-Anteil überprüfen","OK")</f>
        <v>OK</v>
      </c>
      <c r="O38" s="298">
        <f t="shared" si="0"/>
        <v>0</v>
      </c>
      <c r="P38" s="298">
        <f t="shared" si="1"/>
        <v>0</v>
      </c>
      <c r="Q38" s="299">
        <f>IF(Grunddaten_Antrag!$E$56="Ja",H38/100*20.678,0)</f>
        <v>0</v>
      </c>
    </row>
    <row r="39" spans="1:17" s="51" customFormat="1" ht="24.95" customHeight="1" x14ac:dyDescent="0.2">
      <c r="A39" s="83"/>
      <c r="B39" s="302">
        <f>Personal!B73</f>
        <v>0</v>
      </c>
      <c r="C39" s="275">
        <f>Personal!E73</f>
        <v>0</v>
      </c>
      <c r="D39" s="275" t="s">
        <v>96</v>
      </c>
      <c r="E39" s="274">
        <f>Personal!F73</f>
        <v>0</v>
      </c>
      <c r="F39" s="276" t="str">
        <f>Personal!I73</f>
        <v xml:space="preserve"> </v>
      </c>
      <c r="G39" s="277">
        <f>Personal!J73</f>
        <v>0</v>
      </c>
      <c r="H39" s="104"/>
      <c r="I39" s="296">
        <f>IF(Grunddaten_Antrag!$E$56="Ja",H39/100*20.678,0)</f>
        <v>0</v>
      </c>
      <c r="J39" s="301"/>
      <c r="K39" s="308">
        <f>IFERROR(IF(Grunddaten_Antrag!$E$56="ja",Q39/H39,J39/H39),0)</f>
        <v>0</v>
      </c>
      <c r="L39" s="478" t="str">
        <f>IF(AND(AMZ!K38&lt;&gt;'S8b Ausgleich'!K39,AMZ!K38&lt;&gt;0),"SV-Anteil überprüfen","OK")</f>
        <v>OK</v>
      </c>
      <c r="O39" s="298">
        <f t="shared" si="0"/>
        <v>0</v>
      </c>
      <c r="P39" s="298">
        <f t="shared" si="1"/>
        <v>0</v>
      </c>
      <c r="Q39" s="299">
        <f>IF(Grunddaten_Antrag!$E$56="Ja",H39/100*20.678,0)</f>
        <v>0</v>
      </c>
    </row>
    <row r="40" spans="1:17" s="51" customFormat="1" ht="24.95" customHeight="1" x14ac:dyDescent="0.2">
      <c r="A40" s="83"/>
      <c r="B40" s="302">
        <f>Personal!B74</f>
        <v>0</v>
      </c>
      <c r="C40" s="275">
        <f>Personal!E74</f>
        <v>0</v>
      </c>
      <c r="D40" s="275" t="s">
        <v>96</v>
      </c>
      <c r="E40" s="274">
        <f>Personal!F74</f>
        <v>0</v>
      </c>
      <c r="F40" s="276" t="str">
        <f>Personal!I74</f>
        <v xml:space="preserve"> </v>
      </c>
      <c r="G40" s="277">
        <f>Personal!J74</f>
        <v>0</v>
      </c>
      <c r="H40" s="104"/>
      <c r="I40" s="296">
        <f>IF(Grunddaten_Antrag!$E$56="Ja",H40/100*20.678,0)</f>
        <v>0</v>
      </c>
      <c r="J40" s="301"/>
      <c r="K40" s="308">
        <f>IFERROR(IF(Grunddaten_Antrag!$E$56="ja",Q40/H40,J40/H40),0)</f>
        <v>0</v>
      </c>
      <c r="L40" s="478" t="str">
        <f>IF(AND(AMZ!K39&lt;&gt;'S8b Ausgleich'!K40,AMZ!K39&lt;&gt;0),"SV-Anteil überprüfen","OK")</f>
        <v>OK</v>
      </c>
      <c r="O40" s="298">
        <f t="shared" si="0"/>
        <v>0</v>
      </c>
      <c r="P40" s="298">
        <f t="shared" si="1"/>
        <v>0</v>
      </c>
      <c r="Q40" s="299">
        <f>IF(Grunddaten_Antrag!$E$56="Ja",H40/100*20.678,0)</f>
        <v>0</v>
      </c>
    </row>
    <row r="41" spans="1:17" s="51" customFormat="1" ht="24.95" customHeight="1" x14ac:dyDescent="0.2">
      <c r="A41" s="83"/>
      <c r="B41" s="302">
        <f>Personal!B75</f>
        <v>0</v>
      </c>
      <c r="C41" s="275">
        <f>Personal!E75</f>
        <v>0</v>
      </c>
      <c r="D41" s="275" t="s">
        <v>96</v>
      </c>
      <c r="E41" s="274">
        <f>Personal!F75</f>
        <v>0</v>
      </c>
      <c r="F41" s="276" t="str">
        <f>Personal!I75</f>
        <v xml:space="preserve"> </v>
      </c>
      <c r="G41" s="277">
        <f>Personal!J75</f>
        <v>0</v>
      </c>
      <c r="H41" s="104"/>
      <c r="I41" s="296">
        <f>IF(Grunddaten_Antrag!$E$56="Ja",H41/100*20.678,0)</f>
        <v>0</v>
      </c>
      <c r="J41" s="301"/>
      <c r="K41" s="308">
        <f>IFERROR(IF(Grunddaten_Antrag!$E$56="ja",Q41/H41,J41/H41),0)</f>
        <v>0</v>
      </c>
      <c r="L41" s="478" t="str">
        <f>IF(AND(AMZ!K40&lt;&gt;'S8b Ausgleich'!K41,AMZ!K40&lt;&gt;0),"SV-Anteil überprüfen","OK")</f>
        <v>OK</v>
      </c>
      <c r="O41" s="298">
        <f t="shared" si="0"/>
        <v>0</v>
      </c>
      <c r="P41" s="298">
        <f t="shared" si="1"/>
        <v>0</v>
      </c>
      <c r="Q41" s="299">
        <f>IF(Grunddaten_Antrag!$E$56="Ja",H41/100*20.678,0)</f>
        <v>0</v>
      </c>
    </row>
    <row r="42" spans="1:17" s="51" customFormat="1" ht="24.95" customHeight="1" x14ac:dyDescent="0.2">
      <c r="A42" s="83"/>
      <c r="B42" s="302">
        <f>Personal!B76</f>
        <v>0</v>
      </c>
      <c r="C42" s="275">
        <f>Personal!E76</f>
        <v>0</v>
      </c>
      <c r="D42" s="275" t="s">
        <v>96</v>
      </c>
      <c r="E42" s="274">
        <f>Personal!F76</f>
        <v>0</v>
      </c>
      <c r="F42" s="276" t="str">
        <f>Personal!I76</f>
        <v xml:space="preserve"> </v>
      </c>
      <c r="G42" s="277">
        <f>Personal!J76</f>
        <v>0</v>
      </c>
      <c r="H42" s="104"/>
      <c r="I42" s="296">
        <f>IF(Grunddaten_Antrag!$E$56="Ja",H42/100*20.678,0)</f>
        <v>0</v>
      </c>
      <c r="J42" s="301"/>
      <c r="K42" s="308">
        <f>IFERROR(IF(Grunddaten_Antrag!$E$56="ja",Q42/H42,J42/H42),0)</f>
        <v>0</v>
      </c>
      <c r="L42" s="478" t="str">
        <f>IF(AND(AMZ!K41&lt;&gt;'S8b Ausgleich'!K42,AMZ!K41&lt;&gt;0),"SV-Anteil überprüfen","OK")</f>
        <v>OK</v>
      </c>
      <c r="O42" s="298">
        <f t="shared" si="0"/>
        <v>0</v>
      </c>
      <c r="P42" s="298">
        <f t="shared" si="1"/>
        <v>0</v>
      </c>
      <c r="Q42" s="299">
        <f>IF(Grunddaten_Antrag!$E$56="Ja",H42/100*20.678,0)</f>
        <v>0</v>
      </c>
    </row>
    <row r="43" spans="1:17" s="51" customFormat="1" ht="24.95" customHeight="1" x14ac:dyDescent="0.2">
      <c r="A43" s="83"/>
      <c r="B43" s="302">
        <f>Personal!B77</f>
        <v>0</v>
      </c>
      <c r="C43" s="275">
        <f>Personal!E77</f>
        <v>0</v>
      </c>
      <c r="D43" s="275" t="s">
        <v>96</v>
      </c>
      <c r="E43" s="274">
        <f>Personal!F77</f>
        <v>0</v>
      </c>
      <c r="F43" s="276" t="str">
        <f>Personal!I77</f>
        <v xml:space="preserve"> </v>
      </c>
      <c r="G43" s="277">
        <f>Personal!J77</f>
        <v>0</v>
      </c>
      <c r="H43" s="104"/>
      <c r="I43" s="296">
        <f>IF(Grunddaten_Antrag!$E$56="Ja",H43/100*20.678,0)</f>
        <v>0</v>
      </c>
      <c r="J43" s="301"/>
      <c r="K43" s="308">
        <f>IFERROR(IF(Grunddaten_Antrag!$E$56="ja",Q43/H43,J43/H43),0)</f>
        <v>0</v>
      </c>
      <c r="L43" s="478" t="str">
        <f>IF(AND(AMZ!K42&lt;&gt;'S8b Ausgleich'!K43,AMZ!K42&lt;&gt;0),"SV-Anteil überprüfen","OK")</f>
        <v>OK</v>
      </c>
      <c r="O43" s="298">
        <f t="shared" si="0"/>
        <v>0</v>
      </c>
      <c r="P43" s="298">
        <f t="shared" si="1"/>
        <v>0</v>
      </c>
      <c r="Q43" s="299">
        <f>IF(Grunddaten_Antrag!$E$56="Ja",H43/100*20.678,0)</f>
        <v>0</v>
      </c>
    </row>
    <row r="44" spans="1:17" s="51" customFormat="1" ht="24.95" customHeight="1" x14ac:dyDescent="0.2">
      <c r="A44" s="83"/>
      <c r="B44" s="302">
        <f>Personal!B78</f>
        <v>0</v>
      </c>
      <c r="C44" s="275">
        <f>Personal!E78</f>
        <v>0</v>
      </c>
      <c r="D44" s="275" t="s">
        <v>96</v>
      </c>
      <c r="E44" s="274">
        <f>Personal!F78</f>
        <v>0</v>
      </c>
      <c r="F44" s="276" t="str">
        <f>Personal!I78</f>
        <v xml:space="preserve"> </v>
      </c>
      <c r="G44" s="277">
        <f>Personal!J78</f>
        <v>0</v>
      </c>
      <c r="H44" s="104"/>
      <c r="I44" s="296">
        <f>IF(Grunddaten_Antrag!$E$56="Ja",H44/100*20.678,0)</f>
        <v>0</v>
      </c>
      <c r="J44" s="301"/>
      <c r="K44" s="308">
        <f>IFERROR(IF(Grunddaten_Antrag!$E$56="ja",Q44/H44,J44/H44),0)</f>
        <v>0</v>
      </c>
      <c r="L44" s="478" t="str">
        <f>IF(AND(AMZ!K43&lt;&gt;'S8b Ausgleich'!K44,AMZ!K43&lt;&gt;0),"SV-Anteil überprüfen","OK")</f>
        <v>OK</v>
      </c>
      <c r="O44" s="298">
        <f t="shared" si="0"/>
        <v>0</v>
      </c>
      <c r="P44" s="298">
        <f t="shared" si="1"/>
        <v>0</v>
      </c>
      <c r="Q44" s="299">
        <f>IF(Grunddaten_Antrag!$E$56="Ja",H44/100*20.678,0)</f>
        <v>0</v>
      </c>
    </row>
    <row r="45" spans="1:17" s="51" customFormat="1" ht="24.95" customHeight="1" x14ac:dyDescent="0.2">
      <c r="A45" s="83"/>
      <c r="B45" s="302">
        <f>Personal!B79</f>
        <v>0</v>
      </c>
      <c r="C45" s="275">
        <f>Personal!E79</f>
        <v>0</v>
      </c>
      <c r="D45" s="275" t="s">
        <v>96</v>
      </c>
      <c r="E45" s="274">
        <f>Personal!F79</f>
        <v>0</v>
      </c>
      <c r="F45" s="276" t="str">
        <f>Personal!I79</f>
        <v xml:space="preserve"> </v>
      </c>
      <c r="G45" s="277">
        <f>Personal!J79</f>
        <v>0</v>
      </c>
      <c r="H45" s="104"/>
      <c r="I45" s="296">
        <f>IF(Grunddaten_Antrag!$E$56="Ja",H45/100*20.678,0)</f>
        <v>0</v>
      </c>
      <c r="J45" s="301"/>
      <c r="K45" s="308">
        <f>IFERROR(IF(Grunddaten_Antrag!$E$56="ja",Q45/H45,J45/H45),0)</f>
        <v>0</v>
      </c>
      <c r="L45" s="478" t="str">
        <f>IF(AND(AMZ!K44&lt;&gt;'S8b Ausgleich'!K45,AMZ!K44&lt;&gt;0),"SV-Anteil überprüfen","OK")</f>
        <v>OK</v>
      </c>
      <c r="O45" s="298">
        <f t="shared" si="0"/>
        <v>0</v>
      </c>
      <c r="P45" s="298">
        <f t="shared" si="1"/>
        <v>0</v>
      </c>
      <c r="Q45" s="299">
        <f>IF(Grunddaten_Antrag!$E$56="Ja",H45/100*20.678,0)</f>
        <v>0</v>
      </c>
    </row>
    <row r="46" spans="1:17" s="51" customFormat="1" ht="24.95" customHeight="1" x14ac:dyDescent="0.2">
      <c r="A46" s="83"/>
      <c r="B46" s="302">
        <f>Personal!B80</f>
        <v>0</v>
      </c>
      <c r="C46" s="275">
        <f>Personal!E80</f>
        <v>0</v>
      </c>
      <c r="D46" s="275" t="s">
        <v>96</v>
      </c>
      <c r="E46" s="274">
        <f>Personal!F80</f>
        <v>0</v>
      </c>
      <c r="F46" s="276" t="str">
        <f>Personal!I80</f>
        <v xml:space="preserve"> </v>
      </c>
      <c r="G46" s="277">
        <f>Personal!J80</f>
        <v>0</v>
      </c>
      <c r="H46" s="104"/>
      <c r="I46" s="296">
        <f>IF(Grunddaten_Antrag!$E$56="Ja",H46/100*20.678,0)</f>
        <v>0</v>
      </c>
      <c r="J46" s="301"/>
      <c r="K46" s="308">
        <f>IFERROR(IF(Grunddaten_Antrag!$E$56="ja",Q46/H46,J46/H46),0)</f>
        <v>0</v>
      </c>
      <c r="L46" s="478" t="str">
        <f>IF(AND(AMZ!K45&lt;&gt;'S8b Ausgleich'!K46,AMZ!K45&lt;&gt;0),"SV-Anteil überprüfen","OK")</f>
        <v>OK</v>
      </c>
      <c r="O46" s="298">
        <f t="shared" si="0"/>
        <v>0</v>
      </c>
      <c r="P46" s="298">
        <f t="shared" si="1"/>
        <v>0</v>
      </c>
      <c r="Q46" s="299">
        <f>IF(Grunddaten_Antrag!$E$56="Ja",H46/100*20.678,0)</f>
        <v>0</v>
      </c>
    </row>
    <row r="47" spans="1:17" s="51" customFormat="1" ht="24.95" customHeight="1" x14ac:dyDescent="0.2">
      <c r="A47" s="83"/>
      <c r="B47" s="302">
        <f>Personal!B81</f>
        <v>0</v>
      </c>
      <c r="C47" s="275">
        <f>Personal!E81</f>
        <v>0</v>
      </c>
      <c r="D47" s="275" t="s">
        <v>96</v>
      </c>
      <c r="E47" s="274">
        <f>Personal!F81</f>
        <v>0</v>
      </c>
      <c r="F47" s="276" t="str">
        <f>Personal!I81</f>
        <v xml:space="preserve"> </v>
      </c>
      <c r="G47" s="277">
        <f>Personal!J81</f>
        <v>0</v>
      </c>
      <c r="H47" s="104"/>
      <c r="I47" s="296">
        <f>IF(Grunddaten_Antrag!$E$56="Ja",H47/100*20.678,0)</f>
        <v>0</v>
      </c>
      <c r="J47" s="301"/>
      <c r="K47" s="308">
        <f>IFERROR(IF(Grunddaten_Antrag!$E$56="ja",Q47/H47,J47/H47),0)</f>
        <v>0</v>
      </c>
      <c r="L47" s="478" t="str">
        <f>IF(AND(AMZ!K46&lt;&gt;'S8b Ausgleich'!K47,AMZ!K46&lt;&gt;0),"SV-Anteil überprüfen","OK")</f>
        <v>OK</v>
      </c>
      <c r="O47" s="298">
        <f t="shared" si="0"/>
        <v>0</v>
      </c>
      <c r="P47" s="298">
        <f t="shared" si="1"/>
        <v>0</v>
      </c>
      <c r="Q47" s="299">
        <f>IF(Grunddaten_Antrag!$E$56="Ja",H47/100*20.678,0)</f>
        <v>0</v>
      </c>
    </row>
    <row r="48" spans="1:17" s="51" customFormat="1" ht="24.95" customHeight="1" x14ac:dyDescent="0.2">
      <c r="A48" s="83"/>
      <c r="B48" s="302">
        <f>Personal!B82</f>
        <v>0</v>
      </c>
      <c r="C48" s="275">
        <f>Personal!E82</f>
        <v>0</v>
      </c>
      <c r="D48" s="275" t="s">
        <v>96</v>
      </c>
      <c r="E48" s="274">
        <f>Personal!F82</f>
        <v>0</v>
      </c>
      <c r="F48" s="276" t="str">
        <f>Personal!I82</f>
        <v xml:space="preserve"> </v>
      </c>
      <c r="G48" s="277">
        <f>Personal!J82</f>
        <v>0</v>
      </c>
      <c r="H48" s="104"/>
      <c r="I48" s="296">
        <f>IF(Grunddaten_Antrag!$E$56="Ja",H48/100*20.678,0)</f>
        <v>0</v>
      </c>
      <c r="J48" s="301"/>
      <c r="K48" s="308">
        <f>IFERROR(IF(Grunddaten_Antrag!$E$56="ja",Q48/H48,J48/H48),0)</f>
        <v>0</v>
      </c>
      <c r="L48" s="478" t="str">
        <f>IF(AND(AMZ!K47&lt;&gt;'S8b Ausgleich'!K48,AMZ!K47&lt;&gt;0),"SV-Anteil überprüfen","OK")</f>
        <v>OK</v>
      </c>
      <c r="O48" s="298">
        <f t="shared" si="0"/>
        <v>0</v>
      </c>
      <c r="P48" s="298">
        <f t="shared" si="1"/>
        <v>0</v>
      </c>
      <c r="Q48" s="299">
        <f>IF(Grunddaten_Antrag!$E$56="Ja",H48/100*20.678,0)</f>
        <v>0</v>
      </c>
    </row>
    <row r="49" spans="1:17" s="51" customFormat="1" ht="24.95" customHeight="1" x14ac:dyDescent="0.2">
      <c r="A49" s="83"/>
      <c r="B49" s="302">
        <f>Personal!B83</f>
        <v>0</v>
      </c>
      <c r="C49" s="275">
        <f>Personal!E83</f>
        <v>0</v>
      </c>
      <c r="D49" s="275" t="s">
        <v>96</v>
      </c>
      <c r="E49" s="274">
        <f>Personal!F83</f>
        <v>0</v>
      </c>
      <c r="F49" s="276" t="str">
        <f>Personal!I83</f>
        <v xml:space="preserve"> </v>
      </c>
      <c r="G49" s="277">
        <f>Personal!J83</f>
        <v>0</v>
      </c>
      <c r="H49" s="104"/>
      <c r="I49" s="296">
        <f>IF(Grunddaten_Antrag!$E$56="Ja",H49/100*20.678,0)</f>
        <v>0</v>
      </c>
      <c r="J49" s="301"/>
      <c r="K49" s="308">
        <f>IFERROR(IF(Grunddaten_Antrag!$E$56="ja",Q49/H49,J49/H49),0)</f>
        <v>0</v>
      </c>
      <c r="L49" s="478" t="str">
        <f>IF(AND(AMZ!K48&lt;&gt;'S8b Ausgleich'!K49,AMZ!K48&lt;&gt;0),"SV-Anteil überprüfen","OK")</f>
        <v>OK</v>
      </c>
      <c r="O49" s="298">
        <f t="shared" si="0"/>
        <v>0</v>
      </c>
      <c r="P49" s="298">
        <f t="shared" si="1"/>
        <v>0</v>
      </c>
      <c r="Q49" s="299">
        <f>IF(Grunddaten_Antrag!$E$56="Ja",H49/100*20.678,0)</f>
        <v>0</v>
      </c>
    </row>
    <row r="50" spans="1:17" s="51" customFormat="1" ht="24.95" customHeight="1" x14ac:dyDescent="0.2">
      <c r="A50" s="83"/>
      <c r="B50" s="302">
        <f>Personal!B84</f>
        <v>0</v>
      </c>
      <c r="C50" s="275">
        <f>Personal!E84</f>
        <v>0</v>
      </c>
      <c r="D50" s="275" t="s">
        <v>96</v>
      </c>
      <c r="E50" s="274">
        <f>Personal!F84</f>
        <v>0</v>
      </c>
      <c r="F50" s="276" t="str">
        <f>Personal!I84</f>
        <v xml:space="preserve"> </v>
      </c>
      <c r="G50" s="277">
        <f>Personal!J84</f>
        <v>0</v>
      </c>
      <c r="H50" s="104"/>
      <c r="I50" s="296">
        <f>IF(Grunddaten_Antrag!$E$56="Ja",H50/100*20.678,0)</f>
        <v>0</v>
      </c>
      <c r="J50" s="301"/>
      <c r="K50" s="308">
        <f>IFERROR(IF(Grunddaten_Antrag!$E$56="ja",Q50/H50,J50/H50),0)</f>
        <v>0</v>
      </c>
      <c r="L50" s="478" t="str">
        <f>IF(AND(AMZ!K49&lt;&gt;'S8b Ausgleich'!K50,AMZ!K49&lt;&gt;0),"SV-Anteil überprüfen","OK")</f>
        <v>OK</v>
      </c>
      <c r="O50" s="298">
        <f t="shared" si="0"/>
        <v>0</v>
      </c>
      <c r="P50" s="298">
        <f t="shared" si="1"/>
        <v>0</v>
      </c>
      <c r="Q50" s="299">
        <f>IF(Grunddaten_Antrag!$E$56="Ja",H50/100*20.678,0)</f>
        <v>0</v>
      </c>
    </row>
    <row r="51" spans="1:17" s="51" customFormat="1" ht="24.95" customHeight="1" x14ac:dyDescent="0.2">
      <c r="A51" s="83"/>
      <c r="B51" s="302">
        <f>Personal!B85</f>
        <v>0</v>
      </c>
      <c r="C51" s="275">
        <f>Personal!E85</f>
        <v>0</v>
      </c>
      <c r="D51" s="275" t="s">
        <v>96</v>
      </c>
      <c r="E51" s="274">
        <f>Personal!F85</f>
        <v>0</v>
      </c>
      <c r="F51" s="276" t="str">
        <f>Personal!I85</f>
        <v xml:space="preserve"> </v>
      </c>
      <c r="G51" s="277">
        <f>Personal!J85</f>
        <v>0</v>
      </c>
      <c r="H51" s="104"/>
      <c r="I51" s="296">
        <f>IF(Grunddaten_Antrag!$E$56="Ja",H51/100*20.678,0)</f>
        <v>0</v>
      </c>
      <c r="J51" s="301"/>
      <c r="K51" s="308">
        <f>IFERROR(IF(Grunddaten_Antrag!$E$56="ja",Q51/H51,J51/H51),0)</f>
        <v>0</v>
      </c>
      <c r="L51" s="478" t="str">
        <f>IF(AND(AMZ!K50&lt;&gt;'S8b Ausgleich'!K51,AMZ!K50&lt;&gt;0),"SV-Anteil überprüfen","OK")</f>
        <v>OK</v>
      </c>
      <c r="O51" s="298">
        <f t="shared" si="0"/>
        <v>0</v>
      </c>
      <c r="P51" s="298">
        <f t="shared" si="1"/>
        <v>0</v>
      </c>
      <c r="Q51" s="299">
        <f>IF(Grunddaten_Antrag!$E$56="Ja",H51/100*20.678,0)</f>
        <v>0</v>
      </c>
    </row>
    <row r="52" spans="1:17" s="51" customFormat="1" ht="24.95" customHeight="1" x14ac:dyDescent="0.2">
      <c r="A52" s="83"/>
      <c r="B52" s="302">
        <f>Personal!B86</f>
        <v>0</v>
      </c>
      <c r="C52" s="275">
        <f>Personal!E86</f>
        <v>0</v>
      </c>
      <c r="D52" s="275" t="s">
        <v>96</v>
      </c>
      <c r="E52" s="274">
        <f>Personal!F86</f>
        <v>0</v>
      </c>
      <c r="F52" s="276" t="str">
        <f>Personal!I86</f>
        <v xml:space="preserve"> </v>
      </c>
      <c r="G52" s="277">
        <f>Personal!J86</f>
        <v>0</v>
      </c>
      <c r="H52" s="104"/>
      <c r="I52" s="296">
        <f>IF(Grunddaten_Antrag!$E$56="Ja",H52/100*20.678,0)</f>
        <v>0</v>
      </c>
      <c r="J52" s="301"/>
      <c r="K52" s="308">
        <f>IFERROR(IF(Grunddaten_Antrag!$E$56="ja",Q52/H52,J52/H52),0)</f>
        <v>0</v>
      </c>
      <c r="L52" s="478" t="str">
        <f>IF(AND(AMZ!K51&lt;&gt;'S8b Ausgleich'!K52,AMZ!K51&lt;&gt;0),"SV-Anteil überprüfen","OK")</f>
        <v>OK</v>
      </c>
      <c r="O52" s="298">
        <f t="shared" si="0"/>
        <v>0</v>
      </c>
      <c r="P52" s="298">
        <f t="shared" si="1"/>
        <v>0</v>
      </c>
      <c r="Q52" s="299">
        <f>IF(Grunddaten_Antrag!$E$56="Ja",H52/100*20.678,0)</f>
        <v>0</v>
      </c>
    </row>
    <row r="53" spans="1:17" s="51" customFormat="1" ht="24.95" customHeight="1" x14ac:dyDescent="0.2">
      <c r="A53" s="83"/>
      <c r="B53" s="302">
        <f>Personal!B87</f>
        <v>0</v>
      </c>
      <c r="C53" s="275">
        <f>Personal!E87</f>
        <v>0</v>
      </c>
      <c r="D53" s="275" t="s">
        <v>96</v>
      </c>
      <c r="E53" s="274">
        <f>Personal!F87</f>
        <v>0</v>
      </c>
      <c r="F53" s="276" t="str">
        <f>Personal!I87</f>
        <v xml:space="preserve"> </v>
      </c>
      <c r="G53" s="277">
        <f>Personal!J87</f>
        <v>0</v>
      </c>
      <c r="H53" s="104"/>
      <c r="I53" s="296">
        <f>IF(Grunddaten_Antrag!$E$56="Ja",H53/100*20.678,0)</f>
        <v>0</v>
      </c>
      <c r="J53" s="301"/>
      <c r="K53" s="308">
        <f>IFERROR(IF(Grunddaten_Antrag!$E$56="ja",Q53/H53,J53/H53),0)</f>
        <v>0</v>
      </c>
      <c r="L53" s="478" t="str">
        <f>IF(AND(AMZ!K52&lt;&gt;'S8b Ausgleich'!K53,AMZ!K52&lt;&gt;0),"SV-Anteil überprüfen","OK")</f>
        <v>OK</v>
      </c>
      <c r="O53" s="298">
        <f t="shared" si="0"/>
        <v>0</v>
      </c>
      <c r="P53" s="298">
        <f t="shared" si="1"/>
        <v>0</v>
      </c>
      <c r="Q53" s="299">
        <f>IF(Grunddaten_Antrag!$E$56="Ja",H53/100*20.678,0)</f>
        <v>0</v>
      </c>
    </row>
    <row r="54" spans="1:17" s="51" customFormat="1" ht="24.95" customHeight="1" thickBot="1" x14ac:dyDescent="0.3">
      <c r="A54" s="83"/>
      <c r="B54" s="763" t="s">
        <v>120</v>
      </c>
      <c r="C54" s="764"/>
      <c r="D54" s="764"/>
      <c r="E54" s="764"/>
      <c r="F54" s="764"/>
      <c r="G54" s="764"/>
      <c r="H54" s="905">
        <f>IF(AND(Grunddaten_Antrag!E62="nein",Grunddaten_Antrag!E63="nein",Grunddaten_Antrag!E64="nein",Grunddaten_Antrag!E67="nein",Grunddaten_Antrag!E68="nein",Grunddaten_Antrag!E69="nein"),0,SUM(H14:H53))</f>
        <v>0</v>
      </c>
      <c r="I54" s="472">
        <f>IF(Grunddaten_Antrag!$E$56="Ja",H54/100*20.678,0)</f>
        <v>0</v>
      </c>
      <c r="J54" s="304">
        <f>IF(AND(Grunddaten_Antrag!E62="nein",Grunddaten_Antrag!E63="nein",Grunddaten_Antrag!E64="nein",Grunddaten_Antrag!E67="nein",Grunddaten_Antrag!E68="nein",Grunddaten_Antrag!E69="nein"),0,SUM(J14:J53))</f>
        <v>0</v>
      </c>
      <c r="K54" s="305"/>
      <c r="L54" s="479"/>
    </row>
    <row r="55" spans="1:17" s="51" customFormat="1" ht="20.100000000000001" customHeight="1" x14ac:dyDescent="0.2">
      <c r="A55" s="83"/>
      <c r="B55" s="176"/>
      <c r="C55" s="176"/>
      <c r="D55" s="176"/>
      <c r="E55" s="176"/>
      <c r="F55" s="176"/>
      <c r="G55" s="176"/>
      <c r="H55" s="176"/>
      <c r="I55" s="176"/>
      <c r="J55" s="176"/>
    </row>
    <row r="56" spans="1:17" s="51" customFormat="1" ht="20.100000000000001" customHeight="1" x14ac:dyDescent="0.2">
      <c r="A56" s="83"/>
      <c r="B56" s="176"/>
      <c r="C56" s="176"/>
      <c r="D56" s="176"/>
      <c r="E56" s="176"/>
      <c r="F56" s="176"/>
      <c r="G56" s="176"/>
      <c r="H56" s="176"/>
      <c r="I56" s="176"/>
      <c r="J56" s="176"/>
    </row>
    <row r="57" spans="1:17" s="51" customFormat="1" ht="20.100000000000001" customHeight="1" x14ac:dyDescent="0.2">
      <c r="A57" s="83"/>
      <c r="B57" s="176"/>
      <c r="C57" s="176"/>
      <c r="D57" s="176"/>
      <c r="E57" s="176"/>
      <c r="F57" s="176"/>
      <c r="G57" s="176"/>
      <c r="H57" s="176"/>
      <c r="I57" s="176"/>
      <c r="J57" s="176"/>
    </row>
    <row r="58" spans="1:17" s="51" customFormat="1" ht="20.100000000000001" customHeight="1" x14ac:dyDescent="0.2">
      <c r="A58" s="83"/>
      <c r="B58" s="176"/>
      <c r="C58" s="176"/>
      <c r="D58" s="176"/>
      <c r="E58" s="176"/>
      <c r="F58" s="176"/>
      <c r="G58" s="176"/>
      <c r="H58" s="176"/>
      <c r="I58" s="176"/>
      <c r="J58" s="176"/>
    </row>
    <row r="59" spans="1:17" s="51" customFormat="1" ht="20.100000000000001" customHeight="1" x14ac:dyDescent="0.2">
      <c r="A59" s="83"/>
      <c r="B59" s="176"/>
      <c r="C59" s="176"/>
      <c r="D59" s="176"/>
      <c r="E59" s="176"/>
      <c r="F59" s="176"/>
      <c r="G59" s="176"/>
      <c r="H59" s="176"/>
      <c r="I59" s="176"/>
      <c r="J59" s="176"/>
    </row>
    <row r="60" spans="1:17" s="51" customFormat="1" ht="20.100000000000001" customHeight="1" x14ac:dyDescent="0.2">
      <c r="A60" s="83"/>
      <c r="B60" s="176"/>
      <c r="C60" s="176"/>
      <c r="D60" s="176"/>
      <c r="E60" s="176"/>
      <c r="F60" s="176"/>
      <c r="G60" s="176"/>
      <c r="H60" s="176"/>
      <c r="I60" s="176"/>
      <c r="J60" s="176"/>
    </row>
    <row r="61" spans="1:17" s="51" customFormat="1" ht="20.100000000000001" customHeight="1" x14ac:dyDescent="0.2">
      <c r="A61" s="83"/>
      <c r="B61" s="176"/>
      <c r="C61" s="176"/>
      <c r="D61" s="176"/>
      <c r="E61" s="176"/>
      <c r="F61" s="176"/>
      <c r="G61" s="176"/>
      <c r="H61" s="176"/>
      <c r="I61" s="176"/>
      <c r="J61" s="176"/>
    </row>
    <row r="62" spans="1:17" s="51" customFormat="1" ht="20.100000000000001" customHeight="1" x14ac:dyDescent="0.2">
      <c r="A62" s="83"/>
      <c r="B62" s="176"/>
      <c r="C62" s="176"/>
      <c r="D62" s="176"/>
      <c r="E62" s="176"/>
      <c r="F62" s="176"/>
      <c r="G62" s="176"/>
      <c r="H62" s="176"/>
      <c r="I62" s="176"/>
      <c r="J62" s="176"/>
    </row>
    <row r="63" spans="1:17" s="51" customFormat="1" ht="20.100000000000001" customHeight="1" x14ac:dyDescent="0.2">
      <c r="A63" s="83"/>
      <c r="B63" s="176"/>
      <c r="C63" s="176"/>
      <c r="D63" s="176"/>
      <c r="E63" s="176"/>
      <c r="F63" s="176"/>
      <c r="G63" s="176"/>
      <c r="H63" s="176"/>
      <c r="I63" s="176"/>
      <c r="J63" s="176"/>
    </row>
    <row r="64" spans="1:17" s="51" customFormat="1" ht="20.100000000000001" customHeight="1" x14ac:dyDescent="0.2">
      <c r="A64" s="83"/>
      <c r="B64" s="176"/>
      <c r="C64" s="176"/>
      <c r="D64" s="176"/>
      <c r="E64" s="176"/>
      <c r="F64" s="176"/>
      <c r="G64" s="176"/>
      <c r="H64" s="176"/>
      <c r="I64" s="176"/>
      <c r="J64" s="176"/>
    </row>
    <row r="65" spans="1:10" s="51" customFormat="1" ht="20.100000000000001" customHeight="1" x14ac:dyDescent="0.2">
      <c r="A65" s="83"/>
      <c r="B65" s="176"/>
      <c r="C65" s="176"/>
      <c r="D65" s="176"/>
      <c r="E65" s="176"/>
      <c r="F65" s="176"/>
      <c r="G65" s="176"/>
      <c r="H65" s="176"/>
      <c r="I65" s="176"/>
      <c r="J65" s="176"/>
    </row>
  </sheetData>
  <sheetProtection password="C8C7" sheet="1" objects="1" scenarios="1"/>
  <mergeCells count="18">
    <mergeCell ref="B54:G54"/>
    <mergeCell ref="C11:C13"/>
    <mergeCell ref="E11:E13"/>
    <mergeCell ref="F11:F13"/>
    <mergeCell ref="G11:G13"/>
    <mergeCell ref="B10:L10"/>
    <mergeCell ref="K11:K13"/>
    <mergeCell ref="L11:L13"/>
    <mergeCell ref="B2:C2"/>
    <mergeCell ref="B3:C3"/>
    <mergeCell ref="B4:C4"/>
    <mergeCell ref="E2:J2"/>
    <mergeCell ref="E3:J3"/>
    <mergeCell ref="E4:J4"/>
    <mergeCell ref="I11:I13"/>
    <mergeCell ref="H11:H13"/>
    <mergeCell ref="J11:J13"/>
    <mergeCell ref="B11:B13"/>
  </mergeCells>
  <dataValidations count="1">
    <dataValidation operator="equal" allowBlank="1" showErrorMessage="1" sqref="C14:D53"/>
  </dataValidations>
  <pageMargins left="0.31496062992125984" right="0.23622047244094491" top="1.2598425196850394" bottom="0.74803149606299213" header="0.31496062992125984" footer="0.31496062992125984"/>
  <pageSetup paperSize="9" scale="51" orientation="portrait" r:id="rId1"/>
  <headerFooter>
    <oddHeader>&amp;R&amp;G</oddHeader>
    <oddFooter>&amp;LStand: 30.06.2020&amp;CMFF-Endabrechnung 2019
&amp;A
&amp;P&amp;R&amp;G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F147C7DB-662F-4300-B33D-23F8DE51BD63}">
            <xm:f>E14=Tabelle2!$M$13</xm:f>
            <x14:dxf>
              <fill>
                <patternFill>
                  <bgColor theme="1" tint="0.14996795556505021"/>
                </patternFill>
              </fill>
            </x14:dxf>
          </x14:cfRule>
          <x14:cfRule type="expression" priority="18" id="{9AECB7CB-DA3C-4721-87A4-57ECE10FA77D}">
            <xm:f>E14=Tabelle2!$M$14</xm:f>
            <x14:dxf>
              <fill>
                <patternFill>
                  <bgColor theme="1" tint="0.14996795556505021"/>
                </patternFill>
              </fill>
            </x14:dxf>
          </x14:cfRule>
          <x14:cfRule type="expression" priority="19" id="{23A777BC-446D-46D5-8A99-C453D150281C}">
            <xm:f>E14=Tabelle2!$M$15</xm:f>
            <x14:dxf>
              <fill>
                <patternFill>
                  <bgColor theme="1" tint="0.14996795556505021"/>
                </patternFill>
              </fill>
            </x14:dxf>
          </x14:cfRule>
          <xm:sqref>K14:K53</xm:sqref>
        </x14:conditionalFormatting>
        <x14:conditionalFormatting xmlns:xm="http://schemas.microsoft.com/office/excel/2006/main">
          <x14:cfRule type="expression" priority="1" id="{64CAF3A3-6C21-476C-B081-FC753F406637}">
            <xm:f>Tabelle2!$E$47="schwarz"</xm:f>
            <x14:dxf>
              <fill>
                <patternFill>
                  <bgColor theme="1"/>
                </patternFill>
              </fill>
            </x14:dxf>
          </x14:cfRule>
          <xm:sqref>H14:L53</xm:sqref>
        </x14:conditionalFormatting>
        <x14:conditionalFormatting xmlns:xm="http://schemas.microsoft.com/office/excel/2006/main">
          <x14:cfRule type="expression" priority="243" id="{FC71B6D9-4C70-45CE-9B27-6458505ECE1A}">
            <xm:f>Grunddaten_Antrag!#REF!="ja"</xm:f>
            <x14:dxf>
              <fill>
                <patternFill>
                  <bgColor theme="1"/>
                </patternFill>
              </fill>
            </x14:dxf>
          </x14:cfRule>
          <xm:sqref>J14:J53 L14:L54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I48"/>
  <sheetViews>
    <sheetView zoomScaleNormal="100" workbookViewId="0">
      <selection activeCell="C3" sqref="C3:F3"/>
    </sheetView>
  </sheetViews>
  <sheetFormatPr baseColWidth="10" defaultColWidth="11.5703125" defaultRowHeight="12.75" x14ac:dyDescent="0.2"/>
  <cols>
    <col min="1" max="1" width="4.7109375" style="83" customWidth="1"/>
    <col min="2" max="2" width="22.7109375" style="489" customWidth="1"/>
    <col min="3" max="3" width="32.5703125" style="489" customWidth="1"/>
    <col min="4" max="6" width="17.7109375" style="489" customWidth="1"/>
    <col min="7" max="16384" width="11.5703125" style="489"/>
  </cols>
  <sheetData>
    <row r="2" spans="1:6" ht="20.100000000000001" customHeight="1" x14ac:dyDescent="0.2">
      <c r="B2" s="348" t="s">
        <v>26</v>
      </c>
      <c r="C2" s="768">
        <f>Grunddaten_Antrag!E14</f>
        <v>0</v>
      </c>
      <c r="D2" s="769"/>
      <c r="E2" s="769"/>
      <c r="F2" s="770"/>
    </row>
    <row r="3" spans="1:6" ht="20.100000000000001" customHeight="1" x14ac:dyDescent="0.2">
      <c r="B3" s="348" t="s">
        <v>27</v>
      </c>
      <c r="C3" s="768">
        <f>Grunddaten_Antrag!E23</f>
        <v>0</v>
      </c>
      <c r="D3" s="769"/>
      <c r="E3" s="769"/>
      <c r="F3" s="770"/>
    </row>
    <row r="4" spans="1:6" ht="20.100000000000001" customHeight="1" x14ac:dyDescent="0.2">
      <c r="B4" s="348" t="s">
        <v>28</v>
      </c>
      <c r="C4" s="768">
        <f>Grunddaten_Antrag!E24</f>
        <v>0</v>
      </c>
      <c r="D4" s="769"/>
      <c r="E4" s="769"/>
      <c r="F4" s="770"/>
    </row>
    <row r="5" spans="1:6" ht="20.100000000000001" customHeight="1" x14ac:dyDescent="0.2"/>
    <row r="6" spans="1:6" ht="20.100000000000001" customHeight="1" x14ac:dyDescent="0.2"/>
    <row r="7" spans="1:6" ht="20.100000000000001" customHeight="1" x14ac:dyDescent="0.25">
      <c r="B7" s="771" t="str">
        <f>Grunddaten_Antrag!B10</f>
        <v>Endabrechnung auf Leistungen für den Bewilligungszeitraum (BWZ) 1. Januar - 31. Dezember 2019</v>
      </c>
      <c r="C7" s="771"/>
      <c r="D7" s="771"/>
      <c r="E7" s="771"/>
      <c r="F7" s="771"/>
    </row>
    <row r="8" spans="1:6" ht="20.100000000000001" customHeight="1" x14ac:dyDescent="0.25">
      <c r="B8" s="3" t="str">
        <f>Grunddaten_Antrag!B11</f>
        <v>Teil 2</v>
      </c>
    </row>
    <row r="9" spans="1:6" ht="20.100000000000001" customHeight="1" x14ac:dyDescent="0.25">
      <c r="B9" s="3"/>
    </row>
    <row r="10" spans="1:6" ht="20.100000000000001" customHeight="1" x14ac:dyDescent="0.25">
      <c r="A10" s="75">
        <v>85</v>
      </c>
      <c r="B10" s="784" t="s">
        <v>134</v>
      </c>
      <c r="C10" s="784"/>
      <c r="D10" s="784"/>
      <c r="E10" s="784"/>
      <c r="F10" s="784"/>
    </row>
    <row r="11" spans="1:6" ht="47.25" customHeight="1" x14ac:dyDescent="0.2">
      <c r="B11" s="486" t="s">
        <v>14</v>
      </c>
      <c r="C11" s="486" t="s">
        <v>15</v>
      </c>
      <c r="D11" s="486" t="s">
        <v>147</v>
      </c>
      <c r="E11" s="486" t="s">
        <v>148</v>
      </c>
      <c r="F11" s="486" t="s">
        <v>16</v>
      </c>
    </row>
    <row r="12" spans="1:6" ht="20.100000000000001" customHeight="1" x14ac:dyDescent="0.2">
      <c r="B12" s="487" t="s">
        <v>135</v>
      </c>
      <c r="C12" s="349">
        <f>Basiswerte!B4</f>
        <v>0.05</v>
      </c>
      <c r="D12" s="347">
        <f>SUM(Grunddaten_Antrag!E26*Basiswerte!B4)</f>
        <v>0</v>
      </c>
      <c r="E12" s="350">
        <f>D12</f>
        <v>0</v>
      </c>
      <c r="F12" s="351">
        <f>D12</f>
        <v>0</v>
      </c>
    </row>
    <row r="13" spans="1:6" ht="20.100000000000001" customHeight="1" x14ac:dyDescent="0.2">
      <c r="B13" s="487" t="s">
        <v>136</v>
      </c>
      <c r="C13" s="349">
        <v>0.1</v>
      </c>
      <c r="D13" s="347">
        <f>SUM(Grunddaten_Antrag!E26*Basiswerte!B5)</f>
        <v>0</v>
      </c>
      <c r="E13" s="350">
        <f>Personal!AA148+Personal!D40</f>
        <v>0</v>
      </c>
      <c r="F13" s="352">
        <f>IF(D13&lt;=E13,D13,IF(D13&gt;E13,E13,0))</f>
        <v>0</v>
      </c>
    </row>
    <row r="14" spans="1:6" ht="20.100000000000001" customHeight="1" x14ac:dyDescent="0.2">
      <c r="B14" s="487" t="s">
        <v>137</v>
      </c>
      <c r="C14" s="349" t="str">
        <f>Grunddaten_Antrag!E45</f>
        <v>kein Standort</v>
      </c>
      <c r="D14" s="347">
        <f>IF(C14="Standort 50%",SUM(Grunddaten_Antrag!E26*Basiswerte!B6),IF(C14="Standort 70%",SUM(Grunddaten_Antrag!E26*Basiswerte!C6),IF(C14="Standort 70% - Übergangsjahr",SUM(Grunddaten_Antrag!E26*Basiswerte!C6),0)))</f>
        <v>0</v>
      </c>
      <c r="E14" s="350">
        <f>Personal!AB148+Personal!E40</f>
        <v>0</v>
      </c>
      <c r="F14" s="353">
        <f>IF(E14+F15&lt;D14,E14,IF(E14+F15&gt;D14-F15,D14-F15,E14))</f>
        <v>0</v>
      </c>
    </row>
    <row r="15" spans="1:6" ht="20.100000000000001" customHeight="1" x14ac:dyDescent="0.2">
      <c r="B15" s="487" t="s">
        <v>20</v>
      </c>
      <c r="C15" s="349" t="s">
        <v>21</v>
      </c>
      <c r="D15" s="347">
        <f>D14*0.15</f>
        <v>0</v>
      </c>
      <c r="E15" s="350">
        <f>Grunddaten_Antrag!E46</f>
        <v>0</v>
      </c>
      <c r="F15" s="353">
        <f>IF(D15&lt;=E15,D15,IF(D15&gt;E15,E15,0))</f>
        <v>0</v>
      </c>
    </row>
    <row r="16" spans="1:6" ht="20.100000000000001" customHeight="1" x14ac:dyDescent="0.2">
      <c r="B16" s="487" t="s">
        <v>138</v>
      </c>
      <c r="C16" s="354">
        <f>IF(Grunddaten_Antrag!E27=12,Tabelle2!G12,IF(Grunddaten_Antrag!E27=11,Tabelle2!G13,IF(Grunddaten_Antrag!E27=10,Tabelle2!G14,IF(Grunddaten_Antrag!E27=9,Tabelle2!G15,IF(Grunddaten_Antrag!E27=8,Tabelle2!G16,IF(Grunddaten_Antrag!E27=7,Tabelle2!G17,IF(Grunddaten_Antrag!E27=6,Tabelle2!G18,IF(Grunddaten_Antrag!E27=5,Tabelle2!G19,IF(Grunddaten_Antrag!E27=4,Tabelle2!G20,IF(Grunddaten_Antrag!E27=3,Tabelle2!G21,IF(Grunddaten_Antrag!E27=2,Tabelle2!G22,IF(Grunddaten_Antrag!E27=1,Tabelle2!G23,"0,0045"))))))))))))</f>
        <v>4.4999999999999997E-3</v>
      </c>
      <c r="D16" s="347">
        <f>IF(Grunddaten_Antrag!E27=12,Tabelle2!B15,IF(Grunddaten_Antrag!E27=11,Tabelle2!B16,IF(Grunddaten_Antrag!E27=10,Tabelle2!B17,IF(Grunddaten_Antrag!E27=9,Tabelle2!B18,IF(Grunddaten_Antrag!E27=8,Tabelle2!B19,IF(Grunddaten_Antrag!E27=7,Tabelle2!B20,IF(Grunddaten_Antrag!E27=6,Tabelle2!B21,IF(Grunddaten_Antrag!E27=5,Tabelle2!B22,IF(Grunddaten_Antrag!E27=4,Tabelle2!B23,IF(Grunddaten_Antrag!E27=3,Tabelle2!B24,IF(Grunddaten_Antrag!E27=2,Tabelle2!B25,IF(Grunddaten_Antrag!E27=1,Tabelle2!B26,))))))))))))</f>
        <v>0</v>
      </c>
      <c r="E16" s="350">
        <f>Personal!AC148</f>
        <v>0</v>
      </c>
      <c r="F16" s="352">
        <f>IF(D16&lt;=E16,D16,IF(D16&gt;E16,E16,0))</f>
        <v>0</v>
      </c>
    </row>
    <row r="17" spans="1:6" ht="20.100000000000001" customHeight="1" x14ac:dyDescent="0.2">
      <c r="B17" s="487" t="s">
        <v>139</v>
      </c>
      <c r="C17" s="487">
        <v>0.14000000000000001</v>
      </c>
      <c r="D17" s="347">
        <f>IF(ISERROR(Tabelle2!K43),0,(Tabelle2!K43))</f>
        <v>0</v>
      </c>
      <c r="E17" s="350">
        <f>Personal!AD148</f>
        <v>0</v>
      </c>
      <c r="F17" s="352">
        <f>IF(D17&lt;=E17,D17,IF(D17&gt;E17,E17,0))</f>
        <v>0</v>
      </c>
    </row>
    <row r="18" spans="1:6" ht="20.100000000000001" customHeight="1" x14ac:dyDescent="0.2">
      <c r="B18" s="487" t="s">
        <v>140</v>
      </c>
      <c r="C18" s="355">
        <f>Basiswerte!B10</f>
        <v>7187.58</v>
      </c>
      <c r="D18" s="347">
        <f>C18/12*Tabelle2!M3</f>
        <v>0</v>
      </c>
      <c r="E18" s="350">
        <f>Personal!AE148+Personal!F40</f>
        <v>0</v>
      </c>
      <c r="F18" s="352">
        <f>IF(D18&lt;=E18,D18,IF(D18&gt;E18,E18,0))</f>
        <v>0</v>
      </c>
    </row>
    <row r="19" spans="1:6" ht="20.100000000000001" customHeight="1" x14ac:dyDescent="0.2">
      <c r="B19" s="487" t="s">
        <v>53</v>
      </c>
      <c r="C19" s="355"/>
      <c r="D19" s="347">
        <f>SUM((Basiswerte!B15*Grunddaten_Antrag!E39)+(Basiswerte!B16*Grunddaten_Antrag!E40)+(Basiswerte!B17*Grunddaten_Antrag!E41)+(Basiswerte!B18*Grunddaten_Antrag!E42))/12*Grunddaten_Antrag!E27</f>
        <v>0</v>
      </c>
      <c r="E19" s="350">
        <f>Grunddaten_Antrag!E44*Grunddaten_Antrag!E27</f>
        <v>0</v>
      </c>
      <c r="F19" s="352">
        <f>IF(D19&gt;Grunddaten_Antrag!E44*Grunddaten_Antrag!E27,Grunddaten_Antrag!E44*Grunddaten_Antrag!E27,D19)</f>
        <v>0</v>
      </c>
    </row>
    <row r="20" spans="1:6" ht="20.100000000000001" customHeight="1" x14ac:dyDescent="0.2">
      <c r="B20" s="487"/>
      <c r="C20" s="355"/>
      <c r="D20" s="347"/>
      <c r="E20" s="350"/>
      <c r="F20" s="352"/>
    </row>
    <row r="21" spans="1:6" ht="20.100000000000001" customHeight="1" x14ac:dyDescent="0.25">
      <c r="B21" s="785" t="s">
        <v>58</v>
      </c>
      <c r="C21" s="785"/>
      <c r="D21" s="356">
        <f>SUM(D12:D19)-D15</f>
        <v>0</v>
      </c>
      <c r="E21" s="357">
        <f>SUM(E12:E19)</f>
        <v>0</v>
      </c>
      <c r="F21" s="358">
        <f>SUM(F12:F19)</f>
        <v>0</v>
      </c>
    </row>
    <row r="22" spans="1:6" ht="20.100000000000001" customHeight="1" x14ac:dyDescent="0.2"/>
    <row r="23" spans="1:6" ht="20.100000000000001" customHeight="1" x14ac:dyDescent="0.2">
      <c r="B23" s="788" t="s">
        <v>504</v>
      </c>
      <c r="C23" s="789"/>
      <c r="D23" s="790"/>
    </row>
    <row r="24" spans="1:6" ht="20.100000000000001" customHeight="1" x14ac:dyDescent="0.25">
      <c r="A24" s="75"/>
      <c r="B24" s="787" t="s">
        <v>332</v>
      </c>
      <c r="C24" s="787"/>
      <c r="D24" s="356">
        <f>Personal!F159+Personal!F173</f>
        <v>0</v>
      </c>
    </row>
    <row r="25" spans="1:6" ht="20.100000000000001" customHeight="1" x14ac:dyDescent="0.2"/>
    <row r="26" spans="1:6" ht="20.100000000000001" customHeight="1" x14ac:dyDescent="0.2">
      <c r="A26" s="75">
        <v>86</v>
      </c>
      <c r="B26" s="788" t="s">
        <v>505</v>
      </c>
      <c r="C26" s="789"/>
      <c r="D26" s="790"/>
    </row>
    <row r="27" spans="1:6" ht="20.100000000000001" customHeight="1" x14ac:dyDescent="0.25">
      <c r="B27" s="787" t="s">
        <v>144</v>
      </c>
      <c r="C27" s="787"/>
      <c r="D27" s="356">
        <f>F21+D24</f>
        <v>0</v>
      </c>
    </row>
    <row r="28" spans="1:6" ht="20.100000000000001" customHeight="1" x14ac:dyDescent="0.25">
      <c r="B28" s="787" t="s">
        <v>149</v>
      </c>
      <c r="C28" s="787"/>
      <c r="D28" s="356">
        <f>AMZ!G53+AMZ!H53+AMZ!I53+AMZ!J53</f>
        <v>0</v>
      </c>
    </row>
    <row r="29" spans="1:6" ht="20.100000000000001" customHeight="1" x14ac:dyDescent="0.25">
      <c r="B29" s="787" t="s">
        <v>421</v>
      </c>
      <c r="C29" s="787"/>
      <c r="D29" s="356">
        <f>'S8b Ausgleich'!H54+'S8b Ausgleich'!I54+'S8b Ausgleich'!J54</f>
        <v>0</v>
      </c>
    </row>
    <row r="30" spans="1:6" ht="20.100000000000001" customHeight="1" x14ac:dyDescent="0.25">
      <c r="B30" s="787" t="s">
        <v>336</v>
      </c>
      <c r="C30" s="787"/>
      <c r="D30" s="356">
        <f>Personal!J185+Personal!R180</f>
        <v>0</v>
      </c>
    </row>
    <row r="31" spans="1:6" ht="20.100000000000001" customHeight="1" x14ac:dyDescent="0.2">
      <c r="B31" s="51"/>
      <c r="C31" s="51"/>
      <c r="D31" s="51"/>
    </row>
    <row r="32" spans="1:6" ht="39" customHeight="1" x14ac:dyDescent="0.25">
      <c r="A32" s="75">
        <v>87</v>
      </c>
      <c r="B32" s="786" t="s">
        <v>335</v>
      </c>
      <c r="C32" s="786"/>
      <c r="D32" s="356">
        <f>SUM(F21+D24+D28+D29+D30)</f>
        <v>0</v>
      </c>
    </row>
    <row r="35" spans="1:9" ht="6.75" customHeight="1" x14ac:dyDescent="0.2"/>
    <row r="36" spans="1:9" ht="15" hidden="1" x14ac:dyDescent="0.2">
      <c r="A36" s="75"/>
      <c r="B36" s="782"/>
      <c r="C36" s="782"/>
      <c r="D36" s="782"/>
      <c r="E36" s="782"/>
      <c r="F36" s="782"/>
      <c r="G36" s="782"/>
      <c r="H36" s="782"/>
      <c r="I36" s="782"/>
    </row>
    <row r="37" spans="1:9" x14ac:dyDescent="0.2">
      <c r="A37" s="75">
        <v>88</v>
      </c>
      <c r="B37" s="773" t="s">
        <v>524</v>
      </c>
      <c r="C37" s="774"/>
      <c r="D37" s="774"/>
      <c r="E37" s="774"/>
      <c r="F37" s="774"/>
      <c r="G37" s="774"/>
      <c r="H37" s="774"/>
      <c r="I37" s="775"/>
    </row>
    <row r="38" spans="1:9" x14ac:dyDescent="0.2">
      <c r="A38" s="75"/>
      <c r="B38" s="776"/>
      <c r="C38" s="777"/>
      <c r="D38" s="777"/>
      <c r="E38" s="777"/>
      <c r="F38" s="777"/>
      <c r="G38" s="777"/>
      <c r="H38" s="777"/>
      <c r="I38" s="778"/>
    </row>
    <row r="39" spans="1:9" ht="212.25" customHeight="1" x14ac:dyDescent="0.2">
      <c r="A39" s="75"/>
      <c r="B39" s="779"/>
      <c r="C39" s="780"/>
      <c r="D39" s="780"/>
      <c r="E39" s="780"/>
      <c r="F39" s="780"/>
      <c r="G39" s="780"/>
      <c r="H39" s="780"/>
      <c r="I39" s="781"/>
    </row>
    <row r="40" spans="1:9" ht="14.25" x14ac:dyDescent="0.2">
      <c r="A40" s="75"/>
      <c r="B40" s="94"/>
      <c r="C40" s="94"/>
      <c r="D40" s="94"/>
      <c r="E40" s="94"/>
      <c r="F40" s="94"/>
      <c r="G40" s="94"/>
      <c r="H40" s="94"/>
    </row>
    <row r="41" spans="1:9" ht="14.25" x14ac:dyDescent="0.2">
      <c r="A41" s="75"/>
      <c r="B41" s="772"/>
      <c r="C41" s="772"/>
      <c r="D41" s="772"/>
    </row>
    <row r="42" spans="1:9" ht="14.25" x14ac:dyDescent="0.2">
      <c r="A42" s="75"/>
      <c r="B42" s="488"/>
      <c r="C42" s="488"/>
      <c r="D42" s="488"/>
    </row>
    <row r="43" spans="1:9" x14ac:dyDescent="0.2">
      <c r="A43" s="75"/>
    </row>
    <row r="44" spans="1:9" x14ac:dyDescent="0.2">
      <c r="A44" s="75"/>
    </row>
    <row r="45" spans="1:9" x14ac:dyDescent="0.2">
      <c r="A45" s="75"/>
    </row>
    <row r="46" spans="1:9" x14ac:dyDescent="0.2">
      <c r="A46" s="75">
        <v>89</v>
      </c>
    </row>
    <row r="47" spans="1:9" ht="14.25" x14ac:dyDescent="0.2">
      <c r="A47" s="75"/>
      <c r="B47" s="783" t="s">
        <v>98</v>
      </c>
      <c r="C47" s="783"/>
      <c r="D47" s="783"/>
    </row>
    <row r="48" spans="1:9" x14ac:dyDescent="0.2">
      <c r="A48" s="75"/>
      <c r="B48" s="95"/>
      <c r="C48" s="95"/>
      <c r="D48" s="95"/>
    </row>
  </sheetData>
  <sheetProtection password="C8C7" sheet="1" objects="1" scenarios="1"/>
  <mergeCells count="18">
    <mergeCell ref="B47:D47"/>
    <mergeCell ref="B10:F10"/>
    <mergeCell ref="B21:C21"/>
    <mergeCell ref="B32:C32"/>
    <mergeCell ref="B27:C27"/>
    <mergeCell ref="B28:C28"/>
    <mergeCell ref="B29:C29"/>
    <mergeCell ref="B30:C30"/>
    <mergeCell ref="B26:D26"/>
    <mergeCell ref="B24:C24"/>
    <mergeCell ref="B23:D23"/>
    <mergeCell ref="C2:F2"/>
    <mergeCell ref="C3:F3"/>
    <mergeCell ref="C4:F4"/>
    <mergeCell ref="B7:F7"/>
    <mergeCell ref="B41:D41"/>
    <mergeCell ref="B37:I39"/>
    <mergeCell ref="B36:I36"/>
  </mergeCells>
  <phoneticPr fontId="7" type="noConversion"/>
  <conditionalFormatting sqref="F15">
    <cfRule type="expression" priority="1" stopIfTrue="1">
      <formula>#N/A</formula>
    </cfRule>
  </conditionalFormatting>
  <pageMargins left="0.31496062992125984" right="0.23622047244094491" top="1.2598425196850394" bottom="0.74803149606299213" header="0.31496062992125984" footer="0.31496062992125984"/>
  <pageSetup paperSize="9" scale="54" orientation="portrait" r:id="rId1"/>
  <headerFooter>
    <oddHeader>&amp;R&amp;G</oddHeader>
    <oddFooter>&amp;LStand: 30.06.2020&amp;CMFF-Endabrechnung 2019
&amp;A
&amp;P&amp;R&amp;G</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sheetPr>
  <dimension ref="A1:Q209"/>
  <sheetViews>
    <sheetView zoomScaleNormal="100" workbookViewId="0">
      <selection activeCell="A151" sqref="A151"/>
    </sheetView>
  </sheetViews>
  <sheetFormatPr baseColWidth="10" defaultColWidth="11.5703125" defaultRowHeight="12.75" x14ac:dyDescent="0.2"/>
  <cols>
    <col min="1" max="1" width="36.42578125" style="110" customWidth="1"/>
    <col min="2" max="2" width="36.5703125" style="1" customWidth="1"/>
    <col min="3" max="3" width="24" style="1" customWidth="1"/>
    <col min="4" max="4" width="26.85546875" style="1" customWidth="1"/>
    <col min="5" max="5" width="18.5703125" style="1" customWidth="1"/>
    <col min="6" max="6" width="21.85546875" style="110" customWidth="1"/>
    <col min="7" max="7" width="19.7109375" style="1" customWidth="1"/>
    <col min="8" max="8" width="19.42578125" style="110" customWidth="1"/>
    <col min="9" max="9" width="20.28515625" style="1" customWidth="1"/>
    <col min="10" max="10" width="24.7109375" style="1" customWidth="1"/>
    <col min="11" max="11" width="22.85546875" style="57" customWidth="1"/>
    <col min="12" max="12" width="28.140625" style="110" customWidth="1"/>
    <col min="13" max="13" width="15" style="1" customWidth="1"/>
    <col min="14" max="14" width="14.7109375" style="1" customWidth="1"/>
    <col min="15" max="15" width="17" style="1" customWidth="1"/>
    <col min="16" max="16" width="11.5703125" style="1" customWidth="1"/>
    <col min="17" max="17" width="13.7109375" style="1" customWidth="1"/>
    <col min="18" max="18" width="15.7109375" style="1" customWidth="1"/>
    <col min="19" max="16384" width="11.5703125" style="1"/>
  </cols>
  <sheetData>
    <row r="1" spans="1:15" s="113" customFormat="1" x14ac:dyDescent="0.2"/>
    <row r="2" spans="1:15" s="2" customFormat="1" ht="18" x14ac:dyDescent="0.25">
      <c r="A2" s="850" t="s">
        <v>350</v>
      </c>
      <c r="B2" s="850"/>
      <c r="C2" s="850"/>
      <c r="D2" s="850"/>
      <c r="E2" s="850"/>
      <c r="F2" s="850"/>
      <c r="G2" s="850"/>
      <c r="H2" s="850"/>
      <c r="I2" s="15"/>
      <c r="J2" s="56"/>
      <c r="K2" s="109"/>
      <c r="L2" s="17"/>
      <c r="M2" s="17"/>
      <c r="N2" s="17"/>
      <c r="O2" s="17"/>
    </row>
    <row r="3" spans="1:15" s="2" customFormat="1" ht="12" customHeight="1" x14ac:dyDescent="0.2">
      <c r="A3" s="16"/>
      <c r="B3" s="16"/>
      <c r="C3" s="17"/>
      <c r="D3" s="17"/>
      <c r="E3" s="17"/>
      <c r="F3" s="17"/>
      <c r="G3" s="17"/>
      <c r="H3" s="17"/>
      <c r="I3" s="17"/>
      <c r="J3" s="17"/>
      <c r="K3" s="17"/>
      <c r="L3" s="17"/>
      <c r="M3" s="17"/>
      <c r="N3" s="17"/>
      <c r="O3" s="17"/>
    </row>
    <row r="4" spans="1:15" s="2" customFormat="1" ht="15" customHeight="1" x14ac:dyDescent="0.25">
      <c r="A4" s="851" t="s">
        <v>25</v>
      </c>
      <c r="B4" s="851"/>
      <c r="C4" s="851"/>
      <c r="D4" s="851"/>
      <c r="E4" s="851"/>
      <c r="F4" s="851"/>
      <c r="G4" s="851"/>
      <c r="H4" s="851"/>
      <c r="I4" s="18"/>
      <c r="J4" s="134"/>
      <c r="K4" s="17"/>
    </row>
    <row r="5" spans="1:15" s="2" customFormat="1" ht="14.25" customHeight="1" x14ac:dyDescent="0.2">
      <c r="A5" s="16"/>
      <c r="B5" s="16"/>
      <c r="C5" s="17"/>
      <c r="D5" s="17"/>
      <c r="E5" s="17"/>
      <c r="F5" s="17"/>
      <c r="G5" s="17"/>
      <c r="H5" s="17"/>
      <c r="J5" s="134"/>
      <c r="K5" s="17"/>
    </row>
    <row r="6" spans="1:15" ht="14.25" customHeight="1" x14ac:dyDescent="0.2">
      <c r="A6" s="360" t="s">
        <v>163</v>
      </c>
      <c r="B6" s="768">
        <f>Grunddaten_Antrag!E14</f>
        <v>0</v>
      </c>
      <c r="C6" s="769"/>
      <c r="D6" s="769"/>
      <c r="E6" s="769"/>
      <c r="F6" s="770"/>
      <c r="G6" s="19"/>
      <c r="H6" s="134"/>
      <c r="K6" s="1"/>
      <c r="L6" s="1"/>
    </row>
    <row r="7" spans="1:15" ht="14.25" customHeight="1" x14ac:dyDescent="0.2">
      <c r="A7" s="360" t="s">
        <v>164</v>
      </c>
      <c r="B7" s="768">
        <f>Grunddaten_Antrag!E23</f>
        <v>0</v>
      </c>
      <c r="C7" s="769"/>
      <c r="D7" s="769"/>
      <c r="E7" s="769"/>
      <c r="F7" s="770"/>
      <c r="G7" s="19"/>
      <c r="H7" s="57"/>
      <c r="I7" s="135"/>
      <c r="J7" s="136"/>
      <c r="K7" s="136"/>
      <c r="L7" s="136"/>
      <c r="M7" s="136"/>
    </row>
    <row r="8" spans="1:15" ht="14.25" customHeight="1" x14ac:dyDescent="0.2">
      <c r="A8" s="360" t="s">
        <v>3</v>
      </c>
      <c r="B8" s="768">
        <f>Grunddaten_Antrag!E24</f>
        <v>0</v>
      </c>
      <c r="C8" s="769"/>
      <c r="D8" s="769"/>
      <c r="E8" s="769"/>
      <c r="F8" s="770"/>
      <c r="G8" s="19"/>
      <c r="H8" s="57"/>
      <c r="I8" s="110"/>
      <c r="K8" s="1"/>
      <c r="L8" s="1"/>
      <c r="M8" s="135"/>
    </row>
    <row r="9" spans="1:15" ht="14.25" customHeight="1" x14ac:dyDescent="0.2">
      <c r="A9" s="360" t="s">
        <v>162</v>
      </c>
      <c r="B9" s="768">
        <f>Grunddaten_Antrag!E27</f>
        <v>12</v>
      </c>
      <c r="C9" s="769"/>
      <c r="D9" s="769"/>
      <c r="E9" s="769"/>
      <c r="F9" s="770"/>
      <c r="G9" s="19"/>
      <c r="H9" s="57"/>
      <c r="I9" s="137"/>
      <c r="J9" s="137"/>
      <c r="K9" s="137"/>
      <c r="L9" s="137"/>
      <c r="M9" s="135"/>
    </row>
    <row r="10" spans="1:15" ht="12.75" customHeight="1" x14ac:dyDescent="0.2">
      <c r="A10" s="360" t="s">
        <v>282</v>
      </c>
      <c r="B10" s="768">
        <f>Grunddaten_Antrag!E49</f>
        <v>0</v>
      </c>
      <c r="C10" s="769"/>
      <c r="D10" s="769"/>
      <c r="E10" s="769"/>
      <c r="F10" s="770"/>
      <c r="G10" s="137"/>
      <c r="H10" s="137"/>
      <c r="I10" s="135"/>
      <c r="K10" s="1"/>
      <c r="L10" s="1"/>
    </row>
    <row r="11" spans="1:15" ht="12.75" customHeight="1" x14ac:dyDescent="0.2">
      <c r="A11" s="21"/>
      <c r="B11" s="21"/>
      <c r="C11" s="21"/>
      <c r="D11" s="21"/>
      <c r="E11" s="21"/>
      <c r="F11" s="21"/>
      <c r="G11" s="19"/>
      <c r="H11" s="19"/>
      <c r="I11" s="19"/>
      <c r="J11" s="57"/>
      <c r="K11" s="137"/>
      <c r="L11" s="137"/>
      <c r="M11" s="137"/>
      <c r="N11" s="137"/>
      <c r="O11" s="135"/>
    </row>
    <row r="12" spans="1:15" ht="14.25" customHeight="1" x14ac:dyDescent="0.2">
      <c r="A12" s="803" t="s">
        <v>351</v>
      </c>
      <c r="B12" s="803"/>
      <c r="C12" s="803"/>
      <c r="D12" s="856">
        <f>Basiswerte!B2</f>
        <v>1197.93</v>
      </c>
      <c r="E12" s="857"/>
      <c r="F12" s="858"/>
      <c r="G12" s="19"/>
      <c r="H12" s="57"/>
      <c r="I12" s="137"/>
      <c r="J12" s="137"/>
      <c r="K12" s="137"/>
      <c r="L12" s="137"/>
      <c r="M12" s="135"/>
    </row>
    <row r="13" spans="1:15" ht="29.85" customHeight="1" x14ac:dyDescent="0.2">
      <c r="A13" s="852" t="s">
        <v>352</v>
      </c>
      <c r="B13" s="852"/>
      <c r="C13" s="852"/>
      <c r="D13" s="856">
        <f>Grunddaten_Antrag!E26</f>
        <v>0</v>
      </c>
      <c r="E13" s="857"/>
      <c r="F13" s="858"/>
      <c r="G13" s="19"/>
      <c r="H13" s="57"/>
      <c r="I13" s="137"/>
      <c r="J13" s="137"/>
      <c r="K13" s="137"/>
      <c r="L13" s="137"/>
      <c r="M13" s="135"/>
    </row>
    <row r="14" spans="1:15" ht="14.25" customHeight="1" x14ac:dyDescent="0.2">
      <c r="A14" s="803" t="s">
        <v>29</v>
      </c>
      <c r="B14" s="803"/>
      <c r="C14" s="803"/>
      <c r="D14" s="859" t="str">
        <f>Grunddaten_Antrag!E45</f>
        <v>kein Standort</v>
      </c>
      <c r="E14" s="860"/>
      <c r="F14" s="861"/>
      <c r="G14" s="19"/>
      <c r="H14" s="57"/>
      <c r="I14" s="138"/>
      <c r="J14" s="138"/>
      <c r="K14" s="138"/>
      <c r="L14" s="138"/>
      <c r="M14" s="135"/>
    </row>
    <row r="15" spans="1:15" ht="14.25" customHeight="1" x14ac:dyDescent="0.2">
      <c r="A15" s="803" t="s">
        <v>165</v>
      </c>
      <c r="B15" s="803"/>
      <c r="C15" s="803"/>
      <c r="D15" s="862">
        <f>Grunddaten_Antrag!E31</f>
        <v>0</v>
      </c>
      <c r="E15" s="863"/>
      <c r="F15" s="864"/>
      <c r="G15" s="19"/>
      <c r="H15" s="57"/>
      <c r="I15" s="138"/>
      <c r="J15" s="138"/>
      <c r="K15" s="138"/>
      <c r="L15" s="138"/>
    </row>
    <row r="16" spans="1:15" ht="13.7" customHeight="1" x14ac:dyDescent="0.2">
      <c r="A16" s="803" t="s">
        <v>166</v>
      </c>
      <c r="B16" s="803"/>
      <c r="C16" s="803"/>
      <c r="D16" s="865">
        <f>Tabelle2!M3</f>
        <v>0</v>
      </c>
      <c r="E16" s="866"/>
      <c r="F16" s="867"/>
      <c r="G16" s="19"/>
      <c r="H16" s="19"/>
      <c r="K16" s="1"/>
      <c r="L16" s="1"/>
    </row>
    <row r="17" spans="1:13" x14ac:dyDescent="0.2">
      <c r="A17" s="19"/>
      <c r="B17" s="19"/>
      <c r="C17" s="19"/>
      <c r="D17" s="144"/>
      <c r="E17" s="144"/>
      <c r="F17" s="144"/>
      <c r="G17" s="19"/>
      <c r="H17" s="17"/>
      <c r="I17" s="19"/>
      <c r="J17" s="19"/>
      <c r="K17" s="19"/>
      <c r="L17" s="19"/>
      <c r="M17" s="19"/>
    </row>
    <row r="18" spans="1:13" ht="13.7" customHeight="1" x14ac:dyDescent="0.2">
      <c r="A18" s="817" t="s">
        <v>368</v>
      </c>
      <c r="B18" s="817"/>
      <c r="C18" s="817"/>
      <c r="D18" s="817"/>
      <c r="E18" s="817"/>
      <c r="F18" s="817"/>
      <c r="G18" s="19"/>
      <c r="H18" s="169"/>
      <c r="I18" s="19"/>
      <c r="K18" s="1"/>
      <c r="L18" s="1"/>
    </row>
    <row r="19" spans="1:13" ht="30" customHeight="1" x14ac:dyDescent="0.2">
      <c r="A19" s="853" t="s">
        <v>30</v>
      </c>
      <c r="B19" s="853"/>
      <c r="C19" s="854" t="s">
        <v>237</v>
      </c>
      <c r="D19" s="854"/>
      <c r="E19" s="855">
        <f>Grunddaten_Antrag!E33</f>
        <v>0</v>
      </c>
      <c r="F19" s="855"/>
      <c r="G19" s="58"/>
      <c r="H19" s="2"/>
      <c r="I19" s="19"/>
      <c r="J19" s="105"/>
      <c r="K19" s="105"/>
      <c r="L19" s="19"/>
    </row>
    <row r="20" spans="1:13" ht="31.5" customHeight="1" x14ac:dyDescent="0.2">
      <c r="A20" s="853" t="s">
        <v>31</v>
      </c>
      <c r="B20" s="853"/>
      <c r="C20" s="873" t="s">
        <v>237</v>
      </c>
      <c r="D20" s="874"/>
      <c r="E20" s="875">
        <f>Grunddaten_Antrag!E34</f>
        <v>0</v>
      </c>
      <c r="F20" s="875"/>
      <c r="G20" s="58"/>
      <c r="H20" s="170"/>
      <c r="I20" s="19"/>
      <c r="K20" s="1"/>
      <c r="L20" s="1"/>
    </row>
    <row r="21" spans="1:13" s="105" customFormat="1" ht="31.5" customHeight="1" x14ac:dyDescent="0.2">
      <c r="A21" s="876" t="s">
        <v>127</v>
      </c>
      <c r="B21" s="877"/>
      <c r="C21" s="878" t="s">
        <v>237</v>
      </c>
      <c r="D21" s="879"/>
      <c r="E21" s="795">
        <f>Grunddaten_Antrag!E35</f>
        <v>0</v>
      </c>
      <c r="F21" s="796"/>
      <c r="G21" s="58"/>
      <c r="H21" s="170"/>
      <c r="I21" s="26"/>
      <c r="J21" s="26"/>
      <c r="K21" s="50"/>
    </row>
    <row r="22" spans="1:13" ht="27.4" customHeight="1" x14ac:dyDescent="0.2">
      <c r="A22" s="853" t="s">
        <v>32</v>
      </c>
      <c r="B22" s="853"/>
      <c r="C22" s="801" t="s">
        <v>33</v>
      </c>
      <c r="D22" s="801"/>
      <c r="E22" s="875">
        <f>(E19*5)/10.5</f>
        <v>0</v>
      </c>
      <c r="F22" s="875"/>
      <c r="G22" s="58"/>
      <c r="H22" s="171"/>
      <c r="I22" s="26"/>
      <c r="J22" s="26"/>
      <c r="K22" s="50"/>
      <c r="L22" s="1"/>
    </row>
    <row r="23" spans="1:13" s="50" customFormat="1" ht="14.25" customHeight="1" x14ac:dyDescent="0.2">
      <c r="A23" s="361" t="s">
        <v>102</v>
      </c>
      <c r="B23" s="362"/>
      <c r="C23" s="801" t="s">
        <v>33</v>
      </c>
      <c r="D23" s="801"/>
      <c r="E23" s="815">
        <f>E22/2</f>
        <v>0</v>
      </c>
      <c r="F23" s="816"/>
      <c r="G23" s="58"/>
      <c r="H23" s="171"/>
      <c r="I23" s="54"/>
      <c r="J23" s="54"/>
      <c r="K23" s="54"/>
    </row>
    <row r="24" spans="1:13" s="50" customFormat="1" ht="14.25" customHeight="1" x14ac:dyDescent="0.2">
      <c r="A24" s="363" t="s">
        <v>103</v>
      </c>
      <c r="B24" s="364"/>
      <c r="C24" s="801" t="s">
        <v>33</v>
      </c>
      <c r="D24" s="801"/>
      <c r="E24" s="815" t="str">
        <f>IF(Grunddaten_Antrag!E35&gt;E23,"Fachkraftquote erfüllt","Fachkraftquote nicht erfüllt")</f>
        <v>Fachkraftquote nicht erfüllt</v>
      </c>
      <c r="F24" s="816"/>
      <c r="G24" s="58"/>
      <c r="H24" s="171"/>
    </row>
    <row r="25" spans="1:13" s="54" customFormat="1" ht="32.25" customHeight="1" x14ac:dyDescent="0.2">
      <c r="A25" s="880" t="s">
        <v>123</v>
      </c>
      <c r="B25" s="881"/>
      <c r="C25" s="801" t="s">
        <v>167</v>
      </c>
      <c r="D25" s="801"/>
      <c r="E25" s="815">
        <f>Grunddaten_Antrag!E37</f>
        <v>0</v>
      </c>
      <c r="F25" s="816"/>
      <c r="G25" s="139"/>
      <c r="I25" s="1"/>
      <c r="J25" s="50"/>
      <c r="K25" s="50"/>
    </row>
    <row r="26" spans="1:13" s="50" customFormat="1" ht="15" customHeight="1" x14ac:dyDescent="0.2">
      <c r="A26" s="880" t="s">
        <v>105</v>
      </c>
      <c r="B26" s="881"/>
      <c r="C26" s="801" t="s">
        <v>33</v>
      </c>
      <c r="D26" s="801"/>
      <c r="E26" s="815">
        <f>Grunddaten_Antrag!E37/10.5*11</f>
        <v>0</v>
      </c>
      <c r="F26" s="816"/>
      <c r="J26" s="1"/>
      <c r="K26" s="1"/>
    </row>
    <row r="27" spans="1:13" s="50" customFormat="1" ht="15" customHeight="1" x14ac:dyDescent="0.25">
      <c r="A27" s="883" t="s">
        <v>107</v>
      </c>
      <c r="B27" s="884"/>
      <c r="C27" s="801" t="s">
        <v>33</v>
      </c>
      <c r="D27" s="801"/>
      <c r="E27" s="815" t="str">
        <f>IF(Grunddaten_Antrag!E35&gt;E26,"Fachkraftquote erfüllt","Fachkraftquote nicht erfüllt")</f>
        <v>Fachkraftquote nicht erfüllt</v>
      </c>
      <c r="F27" s="816"/>
      <c r="H27" s="167"/>
      <c r="I27" s="168"/>
      <c r="J27" s="1"/>
      <c r="K27" s="1"/>
    </row>
    <row r="28" spans="1:13" ht="14.25" customHeight="1" x14ac:dyDescent="0.2">
      <c r="A28" s="882" t="s">
        <v>34</v>
      </c>
      <c r="B28" s="882"/>
      <c r="C28" s="801" t="s">
        <v>33</v>
      </c>
      <c r="D28" s="801"/>
      <c r="E28" s="875">
        <f>SUM(E20-(E19*5/10.5))</f>
        <v>0</v>
      </c>
      <c r="F28" s="875"/>
      <c r="G28" s="110"/>
      <c r="H28" s="1"/>
      <c r="J28" s="125"/>
      <c r="K28" s="110"/>
      <c r="L28" s="1"/>
    </row>
    <row r="29" spans="1:13" ht="21" customHeight="1" x14ac:dyDescent="0.25">
      <c r="A29" s="800" t="s">
        <v>343</v>
      </c>
      <c r="B29" s="800"/>
      <c r="C29" s="801"/>
      <c r="D29" s="801" t="s">
        <v>35</v>
      </c>
      <c r="E29" s="805">
        <f>Basiswerte!B12</f>
        <v>58650</v>
      </c>
      <c r="F29" s="805"/>
      <c r="G29" s="110"/>
      <c r="H29" s="794" t="s">
        <v>272</v>
      </c>
      <c r="I29" s="794"/>
      <c r="J29" s="125"/>
      <c r="K29" s="110"/>
      <c r="L29" s="1"/>
    </row>
    <row r="30" spans="1:13" ht="33.75" customHeight="1" x14ac:dyDescent="0.25">
      <c r="A30" s="802" t="s">
        <v>169</v>
      </c>
      <c r="B30" s="802"/>
      <c r="C30" s="803" t="s">
        <v>33</v>
      </c>
      <c r="D30" s="803"/>
      <c r="E30" s="848">
        <f>(E29/39*E28)</f>
        <v>0</v>
      </c>
      <c r="F30" s="848"/>
      <c r="G30" s="110"/>
      <c r="H30" s="186" t="s">
        <v>271</v>
      </c>
      <c r="I30" s="142">
        <f>Grunddaten_Antrag!E31</f>
        <v>0</v>
      </c>
      <c r="J30" s="19"/>
      <c r="K30" s="110"/>
      <c r="L30" s="1"/>
    </row>
    <row r="31" spans="1:13" ht="29.85" customHeight="1" x14ac:dyDescent="0.25">
      <c r="A31" s="802" t="s">
        <v>281</v>
      </c>
      <c r="B31" s="802"/>
      <c r="C31" s="803" t="s">
        <v>168</v>
      </c>
      <c r="D31" s="803"/>
      <c r="E31" s="804">
        <f>Personal!C40</f>
        <v>0</v>
      </c>
      <c r="F31" s="804"/>
      <c r="G31" s="110"/>
      <c r="H31" s="186" t="s">
        <v>274</v>
      </c>
      <c r="I31" s="143">
        <f>Grunddaten_Antrag!E33</f>
        <v>0</v>
      </c>
      <c r="J31" s="125"/>
      <c r="K31" s="110"/>
      <c r="L31" s="1"/>
    </row>
    <row r="32" spans="1:13" ht="18.75" customHeight="1" x14ac:dyDescent="0.25">
      <c r="A32" s="19"/>
      <c r="B32" s="19"/>
      <c r="C32" s="19"/>
      <c r="D32" s="19"/>
      <c r="E32" s="19"/>
      <c r="F32" s="19"/>
      <c r="G32" s="19"/>
      <c r="H32" s="187" t="s">
        <v>270</v>
      </c>
      <c r="I32" s="143">
        <f>Grunddaten_Antrag!E34</f>
        <v>0</v>
      </c>
      <c r="J32" s="19"/>
      <c r="K32" s="110"/>
      <c r="L32" s="1"/>
    </row>
    <row r="33" spans="1:15" ht="15" x14ac:dyDescent="0.25">
      <c r="A33" s="797" t="s">
        <v>36</v>
      </c>
      <c r="B33" s="798"/>
      <c r="C33" s="798"/>
      <c r="D33" s="798"/>
      <c r="E33" s="799"/>
      <c r="F33" s="119"/>
      <c r="G33" s="19"/>
      <c r="H33" s="185" t="s">
        <v>235</v>
      </c>
      <c r="I33" s="140">
        <f>Grunddaten_Antrag!E26</f>
        <v>0</v>
      </c>
      <c r="J33" s="19"/>
      <c r="K33" s="110"/>
      <c r="L33" s="1"/>
    </row>
    <row r="34" spans="1:15" ht="57" customHeight="1" x14ac:dyDescent="0.2">
      <c r="A34" s="365" t="s">
        <v>37</v>
      </c>
      <c r="B34" s="365" t="s">
        <v>38</v>
      </c>
      <c r="C34" s="365" t="s">
        <v>39</v>
      </c>
      <c r="D34" s="365" t="s">
        <v>40</v>
      </c>
      <c r="E34" s="365" t="s">
        <v>41</v>
      </c>
      <c r="F34" s="120"/>
      <c r="G34" s="19"/>
      <c r="H34" s="139"/>
      <c r="I34" s="139"/>
      <c r="J34" s="19"/>
      <c r="K34" s="19"/>
      <c r="L34" s="1"/>
    </row>
    <row r="35" spans="1:15" ht="15" x14ac:dyDescent="0.25">
      <c r="A35" s="360" t="s">
        <v>135</v>
      </c>
      <c r="B35" s="366">
        <f>Basiswerte!B4</f>
        <v>0.05</v>
      </c>
      <c r="C35" s="359">
        <f>D13*Basiswerte!B4</f>
        <v>0</v>
      </c>
      <c r="D35" s="367">
        <f>C35</f>
        <v>0</v>
      </c>
      <c r="E35" s="368">
        <f>IF(C35&lt;=D35,C35,IF(C35&gt;D35,D35,0))</f>
        <v>0</v>
      </c>
      <c r="F35" s="121"/>
      <c r="G35" s="19"/>
      <c r="H35" s="185" t="s">
        <v>135</v>
      </c>
      <c r="I35" s="141">
        <f>'Beantragte MFF-Förderung'!F12</f>
        <v>0</v>
      </c>
      <c r="J35" s="19"/>
      <c r="K35" s="19"/>
      <c r="L35" s="1"/>
    </row>
    <row r="36" spans="1:15" ht="15" x14ac:dyDescent="0.25">
      <c r="A36" s="360" t="s">
        <v>136</v>
      </c>
      <c r="B36" s="366">
        <v>0.1</v>
      </c>
      <c r="C36" s="359">
        <f>D13*Basiswerte!B5</f>
        <v>0</v>
      </c>
      <c r="D36" s="369">
        <f>'Beantragte MFF-Förderung'!E13</f>
        <v>0</v>
      </c>
      <c r="E36" s="368">
        <f>IF(C36&lt;=D36,C36,IF(C36&gt;D36,D36,0))</f>
        <v>0</v>
      </c>
      <c r="F36" s="121"/>
      <c r="G36" s="19"/>
      <c r="H36" s="185" t="s">
        <v>136</v>
      </c>
      <c r="I36" s="141">
        <f>'Beantragte MFF-Förderung'!F13</f>
        <v>0</v>
      </c>
      <c r="J36" s="19"/>
      <c r="K36" s="19"/>
      <c r="L36" s="1"/>
    </row>
    <row r="37" spans="1:15" ht="15" x14ac:dyDescent="0.25">
      <c r="A37" s="360" t="s">
        <v>137</v>
      </c>
      <c r="B37" s="366" t="str">
        <f>D14</f>
        <v>kein Standort</v>
      </c>
      <c r="C37" s="359">
        <f>IF(B37="Standort 50%",D13*Basiswerte!B6,IF(B37="Standort 70%",D13*Basiswerte!C6,IF(B37="Standort 70% - Übergangsjahr",D13*Basiswerte!C6,IF(B37="kein Standort",0))))</f>
        <v>0</v>
      </c>
      <c r="D37" s="369">
        <f>'Beantragte MFF-Förderung'!E14</f>
        <v>0</v>
      </c>
      <c r="E37" s="368">
        <f>IF(D37+E38&lt;C37,D37,IF(D37+E38&gt;C37-E38,C37-E38,C37))</f>
        <v>0</v>
      </c>
      <c r="F37" s="121"/>
      <c r="G37" s="19"/>
      <c r="H37" s="185" t="s">
        <v>137</v>
      </c>
      <c r="I37" s="141">
        <f>'Beantragte MFF-Förderung'!F14</f>
        <v>0</v>
      </c>
      <c r="J37" s="19"/>
      <c r="K37" s="19"/>
      <c r="L37" s="1"/>
    </row>
    <row r="38" spans="1:15" ht="15" x14ac:dyDescent="0.25">
      <c r="A38" s="360" t="s">
        <v>280</v>
      </c>
      <c r="B38" s="366" t="s">
        <v>42</v>
      </c>
      <c r="C38" s="359">
        <f>C37*0.15</f>
        <v>0</v>
      </c>
      <c r="D38" s="369">
        <f>'Beantragte MFF-Förderung'!E15</f>
        <v>0</v>
      </c>
      <c r="E38" s="368">
        <f>IF(C38&lt;=D38,C38,IF(C38&gt;D38,D38,0))</f>
        <v>0</v>
      </c>
      <c r="F38" s="121"/>
      <c r="G38" s="19"/>
      <c r="H38" s="185" t="s">
        <v>236</v>
      </c>
      <c r="I38" s="141">
        <f>'Beantragte MFF-Förderung'!F15</f>
        <v>0</v>
      </c>
      <c r="J38" s="19"/>
      <c r="K38" s="19"/>
      <c r="L38" s="1"/>
    </row>
    <row r="39" spans="1:15" ht="15" x14ac:dyDescent="0.25">
      <c r="A39" s="360" t="s">
        <v>138</v>
      </c>
      <c r="B39" s="370">
        <f>'Beantragte MFF-Förderung'!C16</f>
        <v>4.4999999999999997E-3</v>
      </c>
      <c r="C39" s="359">
        <f>'Beantragte MFF-Förderung'!D16</f>
        <v>0</v>
      </c>
      <c r="D39" s="369">
        <f>'Beantragte MFF-Förderung'!E16</f>
        <v>0</v>
      </c>
      <c r="E39" s="368">
        <f>IF(C39&lt;=D39,C39,IF(C39&gt;D39,D39,0))</f>
        <v>0</v>
      </c>
      <c r="F39" s="121"/>
      <c r="G39" s="19"/>
      <c r="H39" s="185" t="s">
        <v>138</v>
      </c>
      <c r="I39" s="141">
        <f>'Beantragte MFF-Förderung'!F16</f>
        <v>0</v>
      </c>
      <c r="J39" s="19"/>
      <c r="K39" s="19"/>
      <c r="L39" s="117"/>
      <c r="M39" s="117"/>
      <c r="N39" s="117"/>
    </row>
    <row r="40" spans="1:15" ht="14.25" customHeight="1" x14ac:dyDescent="0.25">
      <c r="A40" s="360" t="s">
        <v>139</v>
      </c>
      <c r="B40" s="371">
        <f>Basiswerte!B9</f>
        <v>0.14000000000000001</v>
      </c>
      <c r="C40" s="359">
        <f>'Beantragte MFF-Förderung'!D17</f>
        <v>0</v>
      </c>
      <c r="D40" s="369">
        <f>'Beantragte MFF-Förderung'!E17</f>
        <v>0</v>
      </c>
      <c r="E40" s="368">
        <f>IF(C40&lt;=D40,C40,IF(C40&gt;D40,D40,0))</f>
        <v>0</v>
      </c>
      <c r="F40" s="121"/>
      <c r="G40" s="19"/>
      <c r="H40" s="185" t="s">
        <v>139</v>
      </c>
      <c r="I40" s="141">
        <f>'Beantragte MFF-Förderung'!F17</f>
        <v>0</v>
      </c>
      <c r="J40" s="19"/>
      <c r="K40" s="19"/>
      <c r="L40" s="117"/>
      <c r="M40" s="117"/>
      <c r="N40" s="117"/>
    </row>
    <row r="41" spans="1:15" ht="14.25" customHeight="1" x14ac:dyDescent="0.25">
      <c r="A41" s="360" t="s">
        <v>140</v>
      </c>
      <c r="B41" s="372" t="s">
        <v>43</v>
      </c>
      <c r="C41" s="359">
        <f>'Beantragte MFF-Förderung'!D18</f>
        <v>0</v>
      </c>
      <c r="D41" s="369">
        <f>'Beantragte MFF-Förderung'!E18</f>
        <v>0</v>
      </c>
      <c r="E41" s="368">
        <f>IF(C41&lt;=D41,C41,IF(C41&gt;D41,D41,0))</f>
        <v>0</v>
      </c>
      <c r="F41" s="121"/>
      <c r="G41" s="19"/>
      <c r="H41" s="185" t="s">
        <v>140</v>
      </c>
      <c r="I41" s="141">
        <f>'Beantragte MFF-Förderung'!F18</f>
        <v>0</v>
      </c>
      <c r="J41" s="19"/>
      <c r="K41" s="19"/>
      <c r="L41" s="117"/>
      <c r="M41" s="117"/>
      <c r="N41" s="117"/>
    </row>
    <row r="42" spans="1:15" ht="14.25" customHeight="1" x14ac:dyDescent="0.25">
      <c r="A42" s="360" t="s">
        <v>44</v>
      </c>
      <c r="B42" s="849" t="s">
        <v>45</v>
      </c>
      <c r="C42" s="849"/>
      <c r="D42" s="849"/>
      <c r="E42" s="368">
        <f>B57</f>
        <v>0</v>
      </c>
      <c r="F42" s="121"/>
      <c r="G42" s="19"/>
      <c r="H42" s="185" t="s">
        <v>44</v>
      </c>
      <c r="I42" s="141">
        <f>'Beantragte MFF-Förderung'!F19</f>
        <v>0</v>
      </c>
      <c r="J42" s="19"/>
      <c r="K42" s="19"/>
      <c r="L42" s="117"/>
      <c r="M42" s="117"/>
      <c r="N42" s="117"/>
    </row>
    <row r="43" spans="1:15" s="474" customFormat="1" ht="14.25" customHeight="1" x14ac:dyDescent="0.25">
      <c r="A43" s="473" t="s">
        <v>506</v>
      </c>
      <c r="B43" s="849" t="s">
        <v>45</v>
      </c>
      <c r="C43" s="849"/>
      <c r="D43" s="849"/>
      <c r="E43" s="368">
        <f>H71+H84</f>
        <v>0</v>
      </c>
      <c r="F43" s="121"/>
      <c r="G43" s="19"/>
      <c r="H43" s="185"/>
      <c r="I43" s="141"/>
      <c r="J43" s="19"/>
      <c r="K43" s="19"/>
      <c r="L43" s="117"/>
      <c r="M43" s="117"/>
      <c r="N43" s="117"/>
    </row>
    <row r="44" spans="1:15" ht="33.75" customHeight="1" x14ac:dyDescent="0.25">
      <c r="A44" s="373" t="s">
        <v>46</v>
      </c>
      <c r="B44" s="891"/>
      <c r="C44" s="892"/>
      <c r="D44" s="893"/>
      <c r="E44" s="374">
        <f>SUM(E35:E43)</f>
        <v>0</v>
      </c>
      <c r="F44" s="122"/>
      <c r="G44" s="19"/>
      <c r="H44" s="185" t="s">
        <v>171</v>
      </c>
      <c r="I44" s="141">
        <f>'Beantragte MFF-Förderung'!D28</f>
        <v>0</v>
      </c>
      <c r="J44" s="19"/>
      <c r="K44" s="19"/>
      <c r="L44" s="117"/>
      <c r="M44" s="117"/>
      <c r="N44" s="117"/>
    </row>
    <row r="45" spans="1:15" ht="15" x14ac:dyDescent="0.25">
      <c r="A45" s="19"/>
      <c r="B45" s="19"/>
      <c r="C45" s="19"/>
      <c r="D45" s="19"/>
      <c r="E45" s="19"/>
      <c r="F45" s="19"/>
      <c r="G45" s="19"/>
      <c r="H45" s="185" t="s">
        <v>273</v>
      </c>
      <c r="I45" s="141">
        <f>'Beantragte MFF-Förderung'!D29</f>
        <v>0</v>
      </c>
      <c r="J45" s="19"/>
      <c r="K45" s="19"/>
      <c r="L45" s="19"/>
      <c r="M45" s="19"/>
      <c r="N45" s="19"/>
      <c r="O45" s="19"/>
    </row>
    <row r="46" spans="1:15" ht="30" customHeight="1" x14ac:dyDescent="0.25">
      <c r="A46" s="894" t="s">
        <v>47</v>
      </c>
      <c r="B46" s="895"/>
      <c r="C46" s="20"/>
      <c r="D46" s="19"/>
      <c r="E46" s="19"/>
      <c r="F46" s="19"/>
      <c r="G46" s="19"/>
      <c r="H46" s="185" t="s">
        <v>287</v>
      </c>
      <c r="I46" s="141">
        <f>'Beantragte MFF-Förderung'!D30</f>
        <v>0</v>
      </c>
      <c r="J46" s="125"/>
      <c r="K46" s="19"/>
      <c r="L46" s="19"/>
      <c r="M46" s="19"/>
      <c r="N46" s="19"/>
      <c r="O46" s="19"/>
    </row>
    <row r="47" spans="1:15" ht="30" customHeight="1" x14ac:dyDescent="0.25">
      <c r="A47" s="375" t="s">
        <v>99</v>
      </c>
      <c r="B47" s="369">
        <f>Grunddaten_Antrag!E44</f>
        <v>0</v>
      </c>
      <c r="C47" s="19"/>
      <c r="D47" s="19"/>
      <c r="E47" s="19"/>
      <c r="F47" s="19"/>
      <c r="H47" s="139"/>
      <c r="I47" s="139"/>
      <c r="J47" s="19"/>
      <c r="K47" s="19"/>
      <c r="L47" s="19"/>
      <c r="M47" s="19"/>
    </row>
    <row r="48" spans="1:15" ht="15.75" customHeight="1" x14ac:dyDescent="0.25">
      <c r="A48" s="376" t="s">
        <v>48</v>
      </c>
      <c r="B48" s="376"/>
      <c r="C48" s="21"/>
      <c r="D48" s="21"/>
      <c r="E48" s="19"/>
      <c r="F48" s="19"/>
      <c r="G48" s="19"/>
      <c r="H48" s="310" t="s">
        <v>306</v>
      </c>
      <c r="I48" s="311">
        <f>'Beantragte MFF-Förderung'!D24</f>
        <v>0</v>
      </c>
      <c r="J48" s="19"/>
      <c r="K48" s="1"/>
      <c r="L48" s="1"/>
    </row>
    <row r="49" spans="1:13" ht="15" customHeight="1" x14ac:dyDescent="0.25">
      <c r="A49" s="377" t="s">
        <v>49</v>
      </c>
      <c r="B49" s="378">
        <f>Grunddaten_Antrag!E39</f>
        <v>0</v>
      </c>
      <c r="C49" s="21"/>
      <c r="D49" s="21"/>
      <c r="E49" s="19"/>
      <c r="F49" s="19"/>
      <c r="G49" s="19"/>
      <c r="H49" s="310" t="s">
        <v>286</v>
      </c>
      <c r="I49" s="311">
        <f>Grunddaten_Antrag!E44</f>
        <v>0</v>
      </c>
      <c r="J49" s="19"/>
      <c r="K49" s="19"/>
      <c r="L49" s="19"/>
      <c r="M49" s="19"/>
    </row>
    <row r="50" spans="1:13" ht="15" customHeight="1" x14ac:dyDescent="0.25">
      <c r="A50" s="377" t="s">
        <v>50</v>
      </c>
      <c r="B50" s="378">
        <f>Grunddaten_Antrag!E40</f>
        <v>0</v>
      </c>
      <c r="C50" s="21"/>
      <c r="D50" s="21"/>
      <c r="E50" s="19"/>
      <c r="F50" s="19"/>
      <c r="G50" s="19"/>
      <c r="H50" s="1"/>
      <c r="J50" s="19"/>
      <c r="K50" s="19"/>
      <c r="L50" s="19"/>
      <c r="M50" s="19"/>
    </row>
    <row r="51" spans="1:13" ht="15.75" customHeight="1" x14ac:dyDescent="0.25">
      <c r="A51" s="377" t="s">
        <v>51</v>
      </c>
      <c r="B51" s="378">
        <f>Grunddaten_Antrag!E41</f>
        <v>0</v>
      </c>
      <c r="C51" s="21"/>
      <c r="D51" s="21"/>
      <c r="E51" s="19"/>
      <c r="F51" s="19"/>
      <c r="G51" s="19"/>
      <c r="H51" s="19"/>
      <c r="I51" s="19"/>
      <c r="J51" s="19"/>
      <c r="K51" s="19"/>
      <c r="L51" s="19"/>
      <c r="M51" s="19"/>
    </row>
    <row r="52" spans="1:13" ht="15" customHeight="1" x14ac:dyDescent="0.25">
      <c r="A52" s="377" t="s">
        <v>176</v>
      </c>
      <c r="B52" s="378">
        <f>Grunddaten_Antrag!E42</f>
        <v>0</v>
      </c>
      <c r="C52" s="21"/>
      <c r="D52" s="21"/>
      <c r="E52" s="19"/>
      <c r="F52" s="19"/>
      <c r="G52" s="19"/>
      <c r="H52" s="57"/>
      <c r="I52" s="19"/>
      <c r="J52" s="19"/>
      <c r="K52" s="19"/>
      <c r="L52" s="19"/>
      <c r="M52" s="19"/>
    </row>
    <row r="53" spans="1:13" ht="15" x14ac:dyDescent="0.25">
      <c r="A53" s="132"/>
      <c r="B53" s="133"/>
      <c r="C53" s="21"/>
      <c r="D53" s="21"/>
      <c r="E53" s="19"/>
      <c r="F53" s="19"/>
      <c r="G53" s="19"/>
      <c r="H53" s="57"/>
      <c r="I53" s="19"/>
      <c r="J53" s="19"/>
      <c r="K53" s="19"/>
      <c r="L53" s="19"/>
      <c r="M53" s="19"/>
    </row>
    <row r="54" spans="1:13" ht="15.75" customHeight="1" x14ac:dyDescent="0.25">
      <c r="A54" s="376" t="s">
        <v>52</v>
      </c>
      <c r="B54" s="376"/>
      <c r="C54" s="21"/>
      <c r="D54" s="21"/>
      <c r="E54" s="19"/>
      <c r="F54" s="19"/>
      <c r="G54" s="19"/>
      <c r="H54" s="22"/>
      <c r="I54" s="19"/>
      <c r="J54" s="19"/>
      <c r="K54" s="19"/>
      <c r="L54" s="19"/>
    </row>
    <row r="55" spans="1:13" ht="14.25" x14ac:dyDescent="0.2">
      <c r="A55" s="360" t="s">
        <v>53</v>
      </c>
      <c r="B55" s="359">
        <f>'Beantragte MFF-Förderung'!D19</f>
        <v>0</v>
      </c>
      <c r="C55" s="21"/>
      <c r="D55" s="21"/>
      <c r="E55" s="19"/>
      <c r="K55" s="19"/>
      <c r="L55" s="19"/>
    </row>
    <row r="56" spans="1:13" ht="28.5" x14ac:dyDescent="0.2">
      <c r="A56" s="379" t="s">
        <v>54</v>
      </c>
      <c r="B56" s="359">
        <f>B47*Grunddaten_Antrag!E27</f>
        <v>0</v>
      </c>
      <c r="C56" s="19"/>
      <c r="D56" s="19"/>
      <c r="E56" s="19"/>
      <c r="I56" s="1">
        <f>Grunddaten_Antrag!E24</f>
        <v>0</v>
      </c>
      <c r="K56" s="19"/>
      <c r="L56" s="19"/>
    </row>
    <row r="57" spans="1:13" ht="15" x14ac:dyDescent="0.25">
      <c r="A57" s="373" t="s">
        <v>55</v>
      </c>
      <c r="B57" s="380">
        <f>IF(B55&lt;=B56,B55,B56)</f>
        <v>0</v>
      </c>
      <c r="C57" s="19"/>
      <c r="D57" s="19"/>
      <c r="E57" s="19"/>
      <c r="K57" s="19"/>
      <c r="L57" s="19"/>
    </row>
    <row r="58" spans="1:13" s="300" customFormat="1" x14ac:dyDescent="0.2">
      <c r="A58" s="19"/>
      <c r="B58" s="19"/>
      <c r="C58" s="19"/>
      <c r="D58" s="19"/>
      <c r="E58" s="19"/>
      <c r="K58" s="19"/>
      <c r="L58" s="19"/>
    </row>
    <row r="59" spans="1:13" s="300" customFormat="1" x14ac:dyDescent="0.2">
      <c r="A59" s="19"/>
      <c r="B59" s="19"/>
      <c r="C59" s="19"/>
      <c r="D59" s="19"/>
      <c r="E59" s="19"/>
      <c r="K59" s="19"/>
      <c r="L59" s="19"/>
    </row>
    <row r="60" spans="1:13" s="300" customFormat="1" ht="15" x14ac:dyDescent="0.2">
      <c r="A60" s="431" t="s">
        <v>369</v>
      </c>
      <c r="B60" s="431"/>
      <c r="C60" s="431"/>
      <c r="D60" s="431"/>
      <c r="E60" s="431"/>
      <c r="F60" s="431"/>
      <c r="G60" s="431"/>
      <c r="H60" s="432"/>
      <c r="J60" s="19"/>
      <c r="K60" s="19"/>
    </row>
    <row r="61" spans="1:13" s="300" customFormat="1" ht="12.75" customHeight="1" x14ac:dyDescent="0.2">
      <c r="A61" s="696" t="s">
        <v>268</v>
      </c>
      <c r="B61" s="631" t="s">
        <v>307</v>
      </c>
      <c r="C61" s="631" t="s">
        <v>308</v>
      </c>
      <c r="D61" s="631" t="s">
        <v>379</v>
      </c>
      <c r="E61" s="896" t="s">
        <v>374</v>
      </c>
      <c r="F61" s="631" t="s">
        <v>375</v>
      </c>
      <c r="G61" s="887" t="s">
        <v>376</v>
      </c>
      <c r="H61" s="890" t="s">
        <v>358</v>
      </c>
      <c r="K61" s="19"/>
      <c r="L61" s="19"/>
    </row>
    <row r="62" spans="1:13" s="300" customFormat="1" ht="12.75" customHeight="1" x14ac:dyDescent="0.2">
      <c r="A62" s="696"/>
      <c r="B62" s="631"/>
      <c r="C62" s="631"/>
      <c r="D62" s="631"/>
      <c r="E62" s="896"/>
      <c r="F62" s="631"/>
      <c r="G62" s="888"/>
      <c r="H62" s="890"/>
      <c r="K62" s="19"/>
      <c r="L62" s="19"/>
    </row>
    <row r="63" spans="1:13" s="300" customFormat="1" ht="63.75" customHeight="1" x14ac:dyDescent="0.2">
      <c r="A63" s="696"/>
      <c r="B63" s="631"/>
      <c r="C63" s="631"/>
      <c r="D63" s="631"/>
      <c r="E63" s="896"/>
      <c r="F63" s="631"/>
      <c r="G63" s="889"/>
      <c r="H63" s="890"/>
      <c r="K63" s="19"/>
      <c r="L63" s="19"/>
    </row>
    <row r="64" spans="1:13" s="300" customFormat="1" ht="15" x14ac:dyDescent="0.25">
      <c r="A64" s="433">
        <f>Personal!B152</f>
        <v>0</v>
      </c>
      <c r="B64" s="314" t="str">
        <f>Personal!C152</f>
        <v>--------</v>
      </c>
      <c r="C64" s="315">
        <f>Personal!D152</f>
        <v>0</v>
      </c>
      <c r="D64" s="316">
        <f>Personal!E152</f>
        <v>0</v>
      </c>
      <c r="E64" s="425">
        <f>Personal!F152</f>
        <v>0</v>
      </c>
      <c r="F64" s="316">
        <f>IF(B64=Tabelle2!$S$28,Tabelle2!$U$28,IF(B64=Tabelle2!$S$29,Tabelle2!$U$29,IF(B64=Tabelle2!$S$30,Tabelle2!$U$30,IF(B64=Tabelle2!$S$31,Tabelle2!$U$31,IF(B64=Tabelle2!$S$32,Tabelle2!$U$32,0)))))</f>
        <v>0</v>
      </c>
      <c r="G64" s="446">
        <f t="shared" ref="G64:G70" si="0">F64/8*C64</f>
        <v>0</v>
      </c>
      <c r="H64" s="427">
        <f>IF(E64&lt;G64,E64,G64)</f>
        <v>0</v>
      </c>
      <c r="K64" s="19"/>
      <c r="L64" s="19"/>
    </row>
    <row r="65" spans="1:13" s="300" customFormat="1" ht="15" x14ac:dyDescent="0.25">
      <c r="A65" s="433">
        <f>Personal!B153</f>
        <v>0</v>
      </c>
      <c r="B65" s="314" t="str">
        <f>Personal!C153</f>
        <v>--------</v>
      </c>
      <c r="C65" s="315">
        <f>Personal!D153</f>
        <v>0</v>
      </c>
      <c r="D65" s="316">
        <f>Personal!E153</f>
        <v>0</v>
      </c>
      <c r="E65" s="425">
        <f>Personal!F153</f>
        <v>0</v>
      </c>
      <c r="F65" s="316">
        <f>IF(B65=Tabelle2!$S$28,Tabelle2!$U$28,IF(B65=Tabelle2!$S$29,Tabelle2!$U$29,IF(B65=Tabelle2!$S$30,Tabelle2!$U$30,IF(B65=Tabelle2!$S$31,Tabelle2!$U$31,IF(B65=Tabelle2!$S$32,Tabelle2!$U$32,0)))))</f>
        <v>0</v>
      </c>
      <c r="G65" s="446">
        <f t="shared" si="0"/>
        <v>0</v>
      </c>
      <c r="H65" s="427">
        <f t="shared" ref="H65:H70" si="1">IF(E65&lt;G65,E65,G65)</f>
        <v>0</v>
      </c>
      <c r="K65" s="19"/>
      <c r="L65" s="19"/>
    </row>
    <row r="66" spans="1:13" s="300" customFormat="1" ht="15" x14ac:dyDescent="0.25">
      <c r="A66" s="433">
        <f>Personal!B154</f>
        <v>0</v>
      </c>
      <c r="B66" s="314" t="str">
        <f>Personal!C154</f>
        <v>--------</v>
      </c>
      <c r="C66" s="315">
        <f>Personal!D154</f>
        <v>0</v>
      </c>
      <c r="D66" s="316">
        <f>Personal!E154</f>
        <v>0</v>
      </c>
      <c r="E66" s="425">
        <f>Personal!F154</f>
        <v>0</v>
      </c>
      <c r="F66" s="316">
        <f>IF(B66=Tabelle2!$S$28,Tabelle2!$U$28,IF(B66=Tabelle2!$S$29,Tabelle2!$U$29,IF(B66=Tabelle2!$S$30,Tabelle2!$U$30,IF(B66=Tabelle2!$S$31,Tabelle2!$U$31,IF(B66=Tabelle2!$S$32,Tabelle2!$U$32,0)))))</f>
        <v>0</v>
      </c>
      <c r="G66" s="446">
        <f t="shared" si="0"/>
        <v>0</v>
      </c>
      <c r="H66" s="427">
        <f t="shared" si="1"/>
        <v>0</v>
      </c>
      <c r="K66" s="19"/>
      <c r="L66" s="19"/>
    </row>
    <row r="67" spans="1:13" s="300" customFormat="1" ht="15" x14ac:dyDescent="0.25">
      <c r="A67" s="433">
        <f>Personal!B155</f>
        <v>0</v>
      </c>
      <c r="B67" s="314" t="str">
        <f>Personal!C155</f>
        <v>--------</v>
      </c>
      <c r="C67" s="315">
        <f>Personal!D155</f>
        <v>0</v>
      </c>
      <c r="D67" s="316">
        <f>Personal!E155</f>
        <v>0</v>
      </c>
      <c r="E67" s="425">
        <f>Personal!F155</f>
        <v>0</v>
      </c>
      <c r="F67" s="316">
        <f>IF(B67=Tabelle2!$S$28,Tabelle2!$U$28,IF(B67=Tabelle2!$S$29,Tabelle2!$U$29,IF(B67=Tabelle2!$S$30,Tabelle2!$U$30,IF(B67=Tabelle2!$S$31,Tabelle2!$U$31,IF(B67=Tabelle2!$S$32,Tabelle2!$U$32,0)))))</f>
        <v>0</v>
      </c>
      <c r="G67" s="446">
        <f t="shared" si="0"/>
        <v>0</v>
      </c>
      <c r="H67" s="427">
        <f t="shared" si="1"/>
        <v>0</v>
      </c>
      <c r="K67" s="19"/>
      <c r="L67" s="19"/>
    </row>
    <row r="68" spans="1:13" s="300" customFormat="1" ht="15" x14ac:dyDescent="0.25">
      <c r="A68" s="433">
        <f>Personal!B156</f>
        <v>0</v>
      </c>
      <c r="B68" s="314" t="str">
        <f>Personal!C156</f>
        <v>--------</v>
      </c>
      <c r="C68" s="315">
        <f>Personal!D156</f>
        <v>0</v>
      </c>
      <c r="D68" s="316">
        <f>Personal!E156</f>
        <v>0</v>
      </c>
      <c r="E68" s="425">
        <f>Personal!F156</f>
        <v>0</v>
      </c>
      <c r="F68" s="316">
        <f>IF(B68=Tabelle2!$S$28,Tabelle2!$U$28,IF(B68=Tabelle2!$S$29,Tabelle2!$U$29,IF(B68=Tabelle2!$S$30,Tabelle2!$U$30,IF(B68=Tabelle2!$S$31,Tabelle2!$U$31,IF(B68=Tabelle2!$S$32,Tabelle2!$U$32,0)))))</f>
        <v>0</v>
      </c>
      <c r="G68" s="446">
        <f t="shared" si="0"/>
        <v>0</v>
      </c>
      <c r="H68" s="427">
        <f t="shared" si="1"/>
        <v>0</v>
      </c>
      <c r="K68" s="19"/>
      <c r="L68" s="19"/>
    </row>
    <row r="69" spans="1:13" s="300" customFormat="1" ht="15" x14ac:dyDescent="0.25">
      <c r="A69" s="433">
        <f>Personal!B157</f>
        <v>0</v>
      </c>
      <c r="B69" s="314" t="str">
        <f>Personal!C157</f>
        <v>--------</v>
      </c>
      <c r="C69" s="315">
        <f>Personal!D157</f>
        <v>0</v>
      </c>
      <c r="D69" s="316">
        <f>Personal!E157</f>
        <v>0</v>
      </c>
      <c r="E69" s="425">
        <f>Personal!F157</f>
        <v>0</v>
      </c>
      <c r="F69" s="316">
        <f>IF(B69=Tabelle2!$S$28,Tabelle2!$U$28,IF(B69=Tabelle2!$S$29,Tabelle2!$U$29,IF(B69=Tabelle2!$S$30,Tabelle2!$U$30,IF(B69=Tabelle2!$S$31,Tabelle2!$U$31,IF(B69=Tabelle2!$S$32,Tabelle2!$U$32,0)))))</f>
        <v>0</v>
      </c>
      <c r="G69" s="446">
        <f t="shared" si="0"/>
        <v>0</v>
      </c>
      <c r="H69" s="427">
        <f t="shared" si="1"/>
        <v>0</v>
      </c>
      <c r="K69" s="19"/>
      <c r="L69" s="19"/>
    </row>
    <row r="70" spans="1:13" s="300" customFormat="1" ht="15" x14ac:dyDescent="0.25">
      <c r="A70" s="433">
        <f>Personal!B158</f>
        <v>0</v>
      </c>
      <c r="B70" s="314" t="str">
        <f>Personal!C158</f>
        <v>--------</v>
      </c>
      <c r="C70" s="315">
        <f>Personal!D158</f>
        <v>0</v>
      </c>
      <c r="D70" s="316">
        <f>Personal!E158</f>
        <v>0</v>
      </c>
      <c r="E70" s="425">
        <f>Personal!F158</f>
        <v>0</v>
      </c>
      <c r="F70" s="316">
        <f>IF(B70=Tabelle2!$S$28,Tabelle2!$U$28,IF(B70=Tabelle2!$S$29,Tabelle2!$U$29,IF(B70=Tabelle2!$S$30,Tabelle2!$U$30,IF(B70=Tabelle2!$S$31,Tabelle2!$U$31,IF(B70=Tabelle2!$S$32,Tabelle2!$U$32,0)))))</f>
        <v>0</v>
      </c>
      <c r="G70" s="446">
        <f t="shared" si="0"/>
        <v>0</v>
      </c>
      <c r="H70" s="427">
        <f t="shared" si="1"/>
        <v>0</v>
      </c>
      <c r="K70" s="19"/>
      <c r="L70" s="19"/>
    </row>
    <row r="71" spans="1:13" s="300" customFormat="1" ht="15" x14ac:dyDescent="0.25">
      <c r="A71" s="426" t="s">
        <v>120</v>
      </c>
      <c r="B71" s="426"/>
      <c r="C71" s="426"/>
      <c r="D71" s="427">
        <f>SUM(D64:D70)</f>
        <v>0</v>
      </c>
      <c r="E71" s="427">
        <f>SUM(E64:E70)</f>
        <v>0</v>
      </c>
      <c r="F71" s="426"/>
      <c r="G71" s="447">
        <f>SUM(G64:G70)</f>
        <v>0</v>
      </c>
      <c r="H71" s="427">
        <f>SUM(H64:H70)</f>
        <v>0</v>
      </c>
      <c r="K71" s="19"/>
      <c r="L71" s="19"/>
    </row>
    <row r="72" spans="1:13" s="300" customFormat="1" x14ac:dyDescent="0.2">
      <c r="A72" s="19"/>
      <c r="B72" s="19"/>
      <c r="C72" s="19"/>
      <c r="D72" s="19"/>
      <c r="E72" s="19"/>
      <c r="F72" s="19"/>
      <c r="G72" s="424"/>
      <c r="I72" s="424"/>
      <c r="L72" s="19"/>
      <c r="M72" s="19"/>
    </row>
    <row r="73" spans="1:13" s="424" customFormat="1" ht="15" x14ac:dyDescent="0.2">
      <c r="A73" s="885" t="s">
        <v>369</v>
      </c>
      <c r="B73" s="886"/>
      <c r="C73" s="886"/>
      <c r="D73" s="886"/>
      <c r="E73" s="886"/>
      <c r="F73" s="886"/>
      <c r="G73" s="886"/>
      <c r="H73" s="886"/>
      <c r="J73" s="19"/>
      <c r="K73" s="19"/>
    </row>
    <row r="74" spans="1:13" s="424" customFormat="1" ht="12.75" customHeight="1" x14ac:dyDescent="0.2">
      <c r="A74" s="806" t="s">
        <v>268</v>
      </c>
      <c r="B74" s="809" t="s">
        <v>307</v>
      </c>
      <c r="C74" s="809" t="s">
        <v>308</v>
      </c>
      <c r="D74" s="809" t="s">
        <v>379</v>
      </c>
      <c r="E74" s="791" t="s">
        <v>374</v>
      </c>
      <c r="F74" s="812" t="s">
        <v>375</v>
      </c>
      <c r="G74" s="822" t="s">
        <v>376</v>
      </c>
      <c r="H74" s="825" t="s">
        <v>358</v>
      </c>
      <c r="K74" s="19"/>
      <c r="L74" s="19"/>
    </row>
    <row r="75" spans="1:13" s="424" customFormat="1" ht="12.75" customHeight="1" x14ac:dyDescent="0.2">
      <c r="A75" s="807"/>
      <c r="B75" s="810"/>
      <c r="C75" s="810"/>
      <c r="D75" s="810"/>
      <c r="E75" s="792"/>
      <c r="F75" s="813"/>
      <c r="G75" s="823"/>
      <c r="H75" s="826"/>
      <c r="K75" s="19"/>
      <c r="L75" s="19"/>
    </row>
    <row r="76" spans="1:13" s="424" customFormat="1" ht="68.25" customHeight="1" x14ac:dyDescent="0.2">
      <c r="A76" s="808"/>
      <c r="B76" s="811"/>
      <c r="C76" s="811"/>
      <c r="D76" s="811"/>
      <c r="E76" s="793"/>
      <c r="F76" s="814"/>
      <c r="G76" s="824"/>
      <c r="H76" s="827"/>
      <c r="K76" s="19"/>
      <c r="L76" s="19"/>
    </row>
    <row r="77" spans="1:13" s="424" customFormat="1" ht="15" x14ac:dyDescent="0.25">
      <c r="A77" s="313">
        <f>Personal!B166</f>
        <v>0</v>
      </c>
      <c r="B77" s="314" t="str">
        <f>Personal!C166</f>
        <v>--------</v>
      </c>
      <c r="C77" s="315">
        <f>Personal!D166</f>
        <v>0</v>
      </c>
      <c r="D77" s="316">
        <f>Personal!E166</f>
        <v>0</v>
      </c>
      <c r="E77" s="429">
        <f>Personal!F166</f>
        <v>0</v>
      </c>
      <c r="F77" s="316">
        <f>IF(B77=Tabelle2!$S$28,Tabelle2!$U$38,IF(B77=Tabelle2!$S$29,Tabelle2!$U$39,IF(B77=Tabelle2!$S$30,Tabelle2!$U$40,IF(B77=Tabelle2!$S$31,Tabelle2!$U$41,IF(B77=Tabelle2!$S$32,Tabelle2!$U$42,0)))))</f>
        <v>0</v>
      </c>
      <c r="G77" s="446">
        <f>F77/4*C77</f>
        <v>0</v>
      </c>
      <c r="H77" s="449">
        <f>IF(E77&lt;G77,E77,G77)</f>
        <v>0</v>
      </c>
      <c r="K77" s="19"/>
      <c r="L77" s="19"/>
    </row>
    <row r="78" spans="1:13" s="424" customFormat="1" ht="15" x14ac:dyDescent="0.25">
      <c r="A78" s="313">
        <f>Personal!B167</f>
        <v>0</v>
      </c>
      <c r="B78" s="314" t="str">
        <f>Personal!C167</f>
        <v>--------</v>
      </c>
      <c r="C78" s="315">
        <f>Personal!D167</f>
        <v>0</v>
      </c>
      <c r="D78" s="316">
        <f>Personal!E167</f>
        <v>0</v>
      </c>
      <c r="E78" s="429">
        <f>Personal!F167</f>
        <v>0</v>
      </c>
      <c r="F78" s="316">
        <f>IF(B78=Tabelle2!$S$28,Tabelle2!$U$38,IF(B78=Tabelle2!$S$29,Tabelle2!$U$39,IF(B78=Tabelle2!$S$30,Tabelle2!$U$40,IF(B78=Tabelle2!$S$31,Tabelle2!$U$41,IF(B78=Tabelle2!$S$32,Tabelle2!$U$42,0)))))</f>
        <v>0</v>
      </c>
      <c r="G78" s="446">
        <f t="shared" ref="G78:G83" si="2">F78/4*C78</f>
        <v>0</v>
      </c>
      <c r="H78" s="449">
        <f t="shared" ref="H78:H83" si="3">IF(E78&lt;G78,E78,G78)</f>
        <v>0</v>
      </c>
      <c r="K78" s="19"/>
      <c r="L78" s="19"/>
    </row>
    <row r="79" spans="1:13" s="424" customFormat="1" ht="15" x14ac:dyDescent="0.25">
      <c r="A79" s="313">
        <f>Personal!B168</f>
        <v>0</v>
      </c>
      <c r="B79" s="314" t="str">
        <f>Personal!C168</f>
        <v>--------</v>
      </c>
      <c r="C79" s="315">
        <f>Personal!D168</f>
        <v>0</v>
      </c>
      <c r="D79" s="316">
        <f>Personal!E168</f>
        <v>0</v>
      </c>
      <c r="E79" s="429">
        <f>Personal!F168</f>
        <v>0</v>
      </c>
      <c r="F79" s="316">
        <f>IF(B79=Tabelle2!$S$28,Tabelle2!$U$38,IF(B79=Tabelle2!$S$29,Tabelle2!$U$39,IF(B79=Tabelle2!$S$30,Tabelle2!$U$40,IF(B79=Tabelle2!$S$31,Tabelle2!$U$41,IF(B79=Tabelle2!$S$32,Tabelle2!$U$42,0)))))</f>
        <v>0</v>
      </c>
      <c r="G79" s="446">
        <f t="shared" si="2"/>
        <v>0</v>
      </c>
      <c r="H79" s="449">
        <f t="shared" si="3"/>
        <v>0</v>
      </c>
      <c r="K79" s="19"/>
      <c r="L79" s="19"/>
    </row>
    <row r="80" spans="1:13" s="424" customFormat="1" ht="15" x14ac:dyDescent="0.25">
      <c r="A80" s="313">
        <f>Personal!B169</f>
        <v>0</v>
      </c>
      <c r="B80" s="314" t="str">
        <f>Personal!C169</f>
        <v>--------</v>
      </c>
      <c r="C80" s="315">
        <f>Personal!D169</f>
        <v>0</v>
      </c>
      <c r="D80" s="316">
        <f>Personal!E169</f>
        <v>0</v>
      </c>
      <c r="E80" s="429">
        <f>Personal!F169</f>
        <v>0</v>
      </c>
      <c r="F80" s="316">
        <f>IF(B80=Tabelle2!$S$28,Tabelle2!$U$38,IF(B80=Tabelle2!$S$29,Tabelle2!$U$39,IF(B80=Tabelle2!$S$30,Tabelle2!$U$40,IF(B80=Tabelle2!$S$31,Tabelle2!$U$41,IF(B80=Tabelle2!$S$32,Tabelle2!$U$42,0)))))</f>
        <v>0</v>
      </c>
      <c r="G80" s="446">
        <f t="shared" si="2"/>
        <v>0</v>
      </c>
      <c r="H80" s="449">
        <f t="shared" si="3"/>
        <v>0</v>
      </c>
      <c r="K80" s="19"/>
      <c r="L80" s="19"/>
    </row>
    <row r="81" spans="1:16" s="424" customFormat="1" ht="15" x14ac:dyDescent="0.25">
      <c r="A81" s="313">
        <f>Personal!B170</f>
        <v>0</v>
      </c>
      <c r="B81" s="314" t="str">
        <f>Personal!C170</f>
        <v>--------</v>
      </c>
      <c r="C81" s="315">
        <f>Personal!D170</f>
        <v>0</v>
      </c>
      <c r="D81" s="316">
        <f>Personal!E170</f>
        <v>0</v>
      </c>
      <c r="E81" s="429">
        <f>Personal!F170</f>
        <v>0</v>
      </c>
      <c r="F81" s="316">
        <f>IF(B81=Tabelle2!$S$28,Tabelle2!$U$38,IF(B81=Tabelle2!$S$29,Tabelle2!$U$39,IF(B81=Tabelle2!$S$30,Tabelle2!$U$40,IF(B81=Tabelle2!$S$31,Tabelle2!$U$41,IF(B81=Tabelle2!$S$32,Tabelle2!$U$42,0)))))</f>
        <v>0</v>
      </c>
      <c r="G81" s="446">
        <f t="shared" si="2"/>
        <v>0</v>
      </c>
      <c r="H81" s="449">
        <f t="shared" si="3"/>
        <v>0</v>
      </c>
      <c r="K81" s="19"/>
      <c r="L81" s="19"/>
    </row>
    <row r="82" spans="1:16" s="424" customFormat="1" ht="15" x14ac:dyDescent="0.25">
      <c r="A82" s="313">
        <f>Personal!B171</f>
        <v>0</v>
      </c>
      <c r="B82" s="314" t="str">
        <f>Personal!C171</f>
        <v>--------</v>
      </c>
      <c r="C82" s="315">
        <f>Personal!D171</f>
        <v>0</v>
      </c>
      <c r="D82" s="316">
        <f>Personal!E171</f>
        <v>0</v>
      </c>
      <c r="E82" s="429">
        <f>Personal!F171</f>
        <v>0</v>
      </c>
      <c r="F82" s="316">
        <f>IF(B82=Tabelle2!$S$28,Tabelle2!$U$38,IF(B82=Tabelle2!$S$29,Tabelle2!$U$39,IF(B82=Tabelle2!$S$30,Tabelle2!$U$40,IF(B82=Tabelle2!$S$31,Tabelle2!$U$41,IF(B82=Tabelle2!$S$32,Tabelle2!$U$42,0)))))</f>
        <v>0</v>
      </c>
      <c r="G82" s="446">
        <f t="shared" si="2"/>
        <v>0</v>
      </c>
      <c r="H82" s="449">
        <f t="shared" si="3"/>
        <v>0</v>
      </c>
      <c r="K82" s="19"/>
      <c r="L82" s="19"/>
    </row>
    <row r="83" spans="1:16" s="424" customFormat="1" ht="15" x14ac:dyDescent="0.25">
      <c r="A83" s="313">
        <f>Personal!B172</f>
        <v>0</v>
      </c>
      <c r="B83" s="314" t="str">
        <f>Personal!C172</f>
        <v>--------</v>
      </c>
      <c r="C83" s="315">
        <f>Personal!D172</f>
        <v>0</v>
      </c>
      <c r="D83" s="316">
        <f>Personal!E172</f>
        <v>0</v>
      </c>
      <c r="E83" s="429">
        <f>Personal!F172</f>
        <v>0</v>
      </c>
      <c r="F83" s="316">
        <f>IF(B83=Tabelle2!$S$28,Tabelle2!$U$38,IF(B83=Tabelle2!$S$29,Tabelle2!$U$39,IF(B83=Tabelle2!$S$30,Tabelle2!$U$40,IF(B83=Tabelle2!$S$31,Tabelle2!$U$41,IF(B83=Tabelle2!$S$32,Tabelle2!$U$42,0)))))</f>
        <v>0</v>
      </c>
      <c r="G83" s="446">
        <f t="shared" si="2"/>
        <v>0</v>
      </c>
      <c r="H83" s="449">
        <f t="shared" si="3"/>
        <v>0</v>
      </c>
      <c r="K83" s="19"/>
      <c r="L83" s="19"/>
    </row>
    <row r="84" spans="1:16" s="424" customFormat="1" ht="15.75" thickBot="1" x14ac:dyDescent="0.3">
      <c r="A84" s="290" t="s">
        <v>120</v>
      </c>
      <c r="B84" s="291"/>
      <c r="C84" s="291"/>
      <c r="D84" s="292">
        <f>SUM(D77:D83)</f>
        <v>0</v>
      </c>
      <c r="E84" s="430">
        <f>SUM(E77:E83)</f>
        <v>0</v>
      </c>
      <c r="F84" s="291"/>
      <c r="G84" s="448">
        <f>SUM(G77:G83)</f>
        <v>0</v>
      </c>
      <c r="H84" s="292">
        <f>SUM(H77:H83)</f>
        <v>0</v>
      </c>
      <c r="K84" s="19"/>
      <c r="L84" s="19"/>
    </row>
    <row r="85" spans="1:16" s="300" customFormat="1" x14ac:dyDescent="0.2">
      <c r="A85" s="19"/>
      <c r="B85" s="19"/>
      <c r="C85" s="19"/>
      <c r="D85" s="19"/>
      <c r="E85" s="19"/>
      <c r="K85" s="19"/>
      <c r="L85" s="19"/>
    </row>
    <row r="86" spans="1:16" ht="13.5" thickBot="1" x14ac:dyDescent="0.25">
      <c r="A86" s="1"/>
      <c r="C86" s="19"/>
      <c r="D86" s="19"/>
      <c r="E86" s="19"/>
      <c r="F86" s="19"/>
      <c r="G86" s="19"/>
      <c r="H86" s="19"/>
      <c r="I86" s="19"/>
      <c r="J86" s="19"/>
      <c r="K86" s="19"/>
      <c r="L86" s="19"/>
    </row>
    <row r="87" spans="1:16" ht="38.25" customHeight="1" thickBot="1" x14ac:dyDescent="0.25">
      <c r="A87" s="317" t="s">
        <v>267</v>
      </c>
      <c r="B87" s="318"/>
      <c r="C87" s="318"/>
      <c r="D87" s="318"/>
      <c r="E87" s="318"/>
      <c r="F87" s="318"/>
      <c r="G87" s="318"/>
      <c r="H87" s="318"/>
      <c r="I87" s="318"/>
      <c r="J87" s="318"/>
      <c r="K87" s="318"/>
      <c r="L87" s="318"/>
      <c r="M87" s="318"/>
      <c r="N87" s="318"/>
      <c r="O87" s="319"/>
      <c r="P87" s="19"/>
    </row>
    <row r="88" spans="1:16" ht="99" customHeight="1" x14ac:dyDescent="0.2">
      <c r="A88" s="68" t="s">
        <v>218</v>
      </c>
      <c r="B88" s="381" t="s">
        <v>269</v>
      </c>
      <c r="C88" s="381" t="s">
        <v>344</v>
      </c>
      <c r="D88" s="381" t="s">
        <v>284</v>
      </c>
      <c r="E88" s="381" t="s">
        <v>363</v>
      </c>
      <c r="F88" s="381" t="s">
        <v>56</v>
      </c>
      <c r="G88" s="381" t="s">
        <v>275</v>
      </c>
      <c r="H88" s="382" t="s">
        <v>276</v>
      </c>
      <c r="I88" s="145" t="s">
        <v>277</v>
      </c>
      <c r="J88" s="381" t="s">
        <v>278</v>
      </c>
      <c r="K88" s="145" t="s">
        <v>279</v>
      </c>
      <c r="L88" s="381" t="s">
        <v>219</v>
      </c>
      <c r="M88" s="126" t="s">
        <v>249</v>
      </c>
      <c r="N88" s="126" t="s">
        <v>250</v>
      </c>
      <c r="O88" s="160" t="s">
        <v>251</v>
      </c>
    </row>
    <row r="89" spans="1:16" ht="14.1" customHeight="1" x14ac:dyDescent="0.25">
      <c r="A89" s="149">
        <f>AMZ!B13</f>
        <v>0</v>
      </c>
      <c r="B89" s="383">
        <f>AMZ!C13</f>
        <v>0</v>
      </c>
      <c r="C89" s="384" t="str">
        <f>AMZ!D13</f>
        <v xml:space="preserve"> </v>
      </c>
      <c r="D89" s="320">
        <f>AMZ!E13</f>
        <v>0</v>
      </c>
      <c r="E89" s="384">
        <f>AMZ!F13</f>
        <v>0</v>
      </c>
      <c r="F89" s="385" t="s">
        <v>4</v>
      </c>
      <c r="G89" s="385">
        <f>AMZ!G13</f>
        <v>0</v>
      </c>
      <c r="H89" s="385">
        <f>AMZ!H13</f>
        <v>0</v>
      </c>
      <c r="I89" s="161">
        <f t="shared" ref="I89:I133" si="4">IF(F89="Ja",(200*E89)/D89*C89+H89,0)</f>
        <v>0</v>
      </c>
      <c r="J89" s="387">
        <f>IF(Grunddaten_Antrag!E56="ja",AMZ!I13,AMZ!J13)</f>
        <v>0</v>
      </c>
      <c r="K89" s="161">
        <f>IF(F89="ja",I89*L89,0)</f>
        <v>0</v>
      </c>
      <c r="L89" s="388">
        <f>AMZ!K13</f>
        <v>0</v>
      </c>
      <c r="M89" s="162">
        <f t="shared" ref="M89:M133" si="5">G89+H89+J89</f>
        <v>0</v>
      </c>
      <c r="N89" s="162">
        <f t="shared" ref="N89:N133" si="6">I89+K89</f>
        <v>0</v>
      </c>
      <c r="O89" s="163">
        <f t="shared" ref="O89:O133" si="7">IF(M89&lt;N89,M89,N89)</f>
        <v>0</v>
      </c>
      <c r="P89" s="128"/>
    </row>
    <row r="90" spans="1:16" s="39" customFormat="1" ht="14.1" customHeight="1" x14ac:dyDescent="0.25">
      <c r="A90" s="149">
        <f>AMZ!B14</f>
        <v>0</v>
      </c>
      <c r="B90" s="383">
        <f>AMZ!C14</f>
        <v>0</v>
      </c>
      <c r="C90" s="384" t="str">
        <f>AMZ!D14</f>
        <v xml:space="preserve"> </v>
      </c>
      <c r="D90" s="320">
        <f>AMZ!E14</f>
        <v>0</v>
      </c>
      <c r="E90" s="384">
        <f>AMZ!F14</f>
        <v>0</v>
      </c>
      <c r="F90" s="385" t="s">
        <v>4</v>
      </c>
      <c r="G90" s="385">
        <f>AMZ!G14</f>
        <v>0</v>
      </c>
      <c r="H90" s="385">
        <f>AMZ!H14</f>
        <v>0</v>
      </c>
      <c r="I90" s="161">
        <f t="shared" si="4"/>
        <v>0</v>
      </c>
      <c r="J90" s="387">
        <f>IF(Grunddaten_Antrag!E57="ja",AMZ!I14,AMZ!J14)</f>
        <v>0</v>
      </c>
      <c r="K90" s="161">
        <f t="shared" ref="K90:K133" si="8">IF(F90="ja",I90*L90,0)</f>
        <v>0</v>
      </c>
      <c r="L90" s="388">
        <f>AMZ!K14</f>
        <v>0</v>
      </c>
      <c r="M90" s="162">
        <f t="shared" si="5"/>
        <v>0</v>
      </c>
      <c r="N90" s="162">
        <f t="shared" si="6"/>
        <v>0</v>
      </c>
      <c r="O90" s="163">
        <f t="shared" si="7"/>
        <v>0</v>
      </c>
    </row>
    <row r="91" spans="1:16" s="39" customFormat="1" ht="14.1" customHeight="1" x14ac:dyDescent="0.25">
      <c r="A91" s="149">
        <f>AMZ!B15</f>
        <v>0</v>
      </c>
      <c r="B91" s="383">
        <f>AMZ!C15</f>
        <v>0</v>
      </c>
      <c r="C91" s="384" t="str">
        <f>AMZ!D15</f>
        <v xml:space="preserve"> </v>
      </c>
      <c r="D91" s="320">
        <f>AMZ!E15</f>
        <v>0</v>
      </c>
      <c r="E91" s="384">
        <f>AMZ!F15</f>
        <v>0</v>
      </c>
      <c r="F91" s="385" t="s">
        <v>4</v>
      </c>
      <c r="G91" s="385">
        <f>AMZ!G15</f>
        <v>0</v>
      </c>
      <c r="H91" s="385">
        <f>AMZ!H15</f>
        <v>0</v>
      </c>
      <c r="I91" s="161">
        <f t="shared" si="4"/>
        <v>0</v>
      </c>
      <c r="J91" s="387">
        <f>IF(Grunddaten_Antrag!E58="ja",AMZ!I15,AMZ!J15)</f>
        <v>0</v>
      </c>
      <c r="K91" s="161">
        <f t="shared" si="8"/>
        <v>0</v>
      </c>
      <c r="L91" s="388">
        <f>AMZ!K15</f>
        <v>0</v>
      </c>
      <c r="M91" s="162">
        <f t="shared" si="5"/>
        <v>0</v>
      </c>
      <c r="N91" s="162">
        <f t="shared" si="6"/>
        <v>0</v>
      </c>
      <c r="O91" s="163">
        <f t="shared" si="7"/>
        <v>0</v>
      </c>
    </row>
    <row r="92" spans="1:16" s="39" customFormat="1" ht="14.1" customHeight="1" x14ac:dyDescent="0.25">
      <c r="A92" s="149">
        <f>AMZ!B16</f>
        <v>0</v>
      </c>
      <c r="B92" s="383">
        <f>AMZ!C16</f>
        <v>0</v>
      </c>
      <c r="C92" s="384" t="str">
        <f>AMZ!D16</f>
        <v xml:space="preserve"> </v>
      </c>
      <c r="D92" s="320">
        <f>AMZ!E16</f>
        <v>0</v>
      </c>
      <c r="E92" s="384">
        <f>AMZ!F16</f>
        <v>0</v>
      </c>
      <c r="F92" s="385" t="s">
        <v>4</v>
      </c>
      <c r="G92" s="385">
        <f>AMZ!G16</f>
        <v>0</v>
      </c>
      <c r="H92" s="385">
        <f>AMZ!H16</f>
        <v>0</v>
      </c>
      <c r="I92" s="161">
        <f t="shared" si="4"/>
        <v>0</v>
      </c>
      <c r="J92" s="387">
        <f>IF(Grunddaten_Antrag!E59="ja",AMZ!I16,AMZ!J16)</f>
        <v>0</v>
      </c>
      <c r="K92" s="161">
        <f t="shared" si="8"/>
        <v>0</v>
      </c>
      <c r="L92" s="388">
        <f>AMZ!K16</f>
        <v>0</v>
      </c>
      <c r="M92" s="162">
        <f t="shared" si="5"/>
        <v>0</v>
      </c>
      <c r="N92" s="162">
        <f t="shared" si="6"/>
        <v>0</v>
      </c>
      <c r="O92" s="163">
        <f t="shared" si="7"/>
        <v>0</v>
      </c>
    </row>
    <row r="93" spans="1:16" s="39" customFormat="1" ht="14.1" customHeight="1" x14ac:dyDescent="0.25">
      <c r="A93" s="149">
        <f>AMZ!B17</f>
        <v>0</v>
      </c>
      <c r="B93" s="383">
        <f>AMZ!C17</f>
        <v>0</v>
      </c>
      <c r="C93" s="384" t="str">
        <f>AMZ!D17</f>
        <v xml:space="preserve"> </v>
      </c>
      <c r="D93" s="320">
        <f>AMZ!E17</f>
        <v>0</v>
      </c>
      <c r="E93" s="384">
        <f>AMZ!F17</f>
        <v>0</v>
      </c>
      <c r="F93" s="385" t="s">
        <v>4</v>
      </c>
      <c r="G93" s="385">
        <f>AMZ!G17</f>
        <v>0</v>
      </c>
      <c r="H93" s="385">
        <f>AMZ!H17</f>
        <v>0</v>
      </c>
      <c r="I93" s="161">
        <f t="shared" si="4"/>
        <v>0</v>
      </c>
      <c r="J93" s="387">
        <f>IF(Grunddaten_Antrag!E60="ja",AMZ!I17,AMZ!J17)</f>
        <v>0</v>
      </c>
      <c r="K93" s="161">
        <f t="shared" si="8"/>
        <v>0</v>
      </c>
      <c r="L93" s="388">
        <f>AMZ!K17</f>
        <v>0</v>
      </c>
      <c r="M93" s="162">
        <f t="shared" si="5"/>
        <v>0</v>
      </c>
      <c r="N93" s="162">
        <f t="shared" si="6"/>
        <v>0</v>
      </c>
      <c r="O93" s="163">
        <f t="shared" si="7"/>
        <v>0</v>
      </c>
    </row>
    <row r="94" spans="1:16" s="39" customFormat="1" ht="14.1" customHeight="1" x14ac:dyDescent="0.25">
      <c r="A94" s="149">
        <f>AMZ!B18</f>
        <v>0</v>
      </c>
      <c r="B94" s="383">
        <f>AMZ!C18</f>
        <v>0</v>
      </c>
      <c r="C94" s="384" t="str">
        <f>AMZ!D18</f>
        <v xml:space="preserve"> </v>
      </c>
      <c r="D94" s="320">
        <f>AMZ!E18</f>
        <v>0</v>
      </c>
      <c r="E94" s="384">
        <f>AMZ!F18</f>
        <v>0</v>
      </c>
      <c r="F94" s="385" t="s">
        <v>4</v>
      </c>
      <c r="G94" s="385">
        <f>AMZ!G18</f>
        <v>0</v>
      </c>
      <c r="H94" s="385">
        <f>AMZ!H18</f>
        <v>0</v>
      </c>
      <c r="I94" s="161">
        <f t="shared" si="4"/>
        <v>0</v>
      </c>
      <c r="J94" s="387">
        <f>IF(Grunddaten_Antrag!E61="ja",AMZ!I18,AMZ!J18)</f>
        <v>0</v>
      </c>
      <c r="K94" s="161">
        <f t="shared" si="8"/>
        <v>0</v>
      </c>
      <c r="L94" s="388">
        <f>AMZ!K18</f>
        <v>0</v>
      </c>
      <c r="M94" s="162">
        <f t="shared" si="5"/>
        <v>0</v>
      </c>
      <c r="N94" s="162">
        <f t="shared" si="6"/>
        <v>0</v>
      </c>
      <c r="O94" s="163">
        <f t="shared" si="7"/>
        <v>0</v>
      </c>
    </row>
    <row r="95" spans="1:16" s="39" customFormat="1" ht="14.1" customHeight="1" x14ac:dyDescent="0.25">
      <c r="A95" s="149">
        <f>AMZ!B19</f>
        <v>0</v>
      </c>
      <c r="B95" s="383">
        <f>AMZ!C19</f>
        <v>0</v>
      </c>
      <c r="C95" s="384" t="str">
        <f>AMZ!D19</f>
        <v xml:space="preserve"> </v>
      </c>
      <c r="D95" s="320">
        <f>AMZ!E19</f>
        <v>0</v>
      </c>
      <c r="E95" s="384">
        <f>AMZ!F19</f>
        <v>0</v>
      </c>
      <c r="F95" s="385" t="s">
        <v>4</v>
      </c>
      <c r="G95" s="385">
        <f>AMZ!G19</f>
        <v>0</v>
      </c>
      <c r="H95" s="385">
        <f>AMZ!H19</f>
        <v>0</v>
      </c>
      <c r="I95" s="161">
        <f t="shared" si="4"/>
        <v>0</v>
      </c>
      <c r="J95" s="387">
        <f>IF(Grunddaten_Antrag!E62="ja",AMZ!I19,AMZ!J19)</f>
        <v>0</v>
      </c>
      <c r="K95" s="161">
        <f t="shared" si="8"/>
        <v>0</v>
      </c>
      <c r="L95" s="388">
        <f>AMZ!K19</f>
        <v>0</v>
      </c>
      <c r="M95" s="162">
        <f t="shared" si="5"/>
        <v>0</v>
      </c>
      <c r="N95" s="162">
        <f t="shared" si="6"/>
        <v>0</v>
      </c>
      <c r="O95" s="163">
        <f t="shared" si="7"/>
        <v>0</v>
      </c>
    </row>
    <row r="96" spans="1:16" s="39" customFormat="1" ht="14.1" customHeight="1" x14ac:dyDescent="0.25">
      <c r="A96" s="149">
        <f>AMZ!B20</f>
        <v>0</v>
      </c>
      <c r="B96" s="383">
        <f>AMZ!C20</f>
        <v>0</v>
      </c>
      <c r="C96" s="384" t="str">
        <f>AMZ!D20</f>
        <v xml:space="preserve"> </v>
      </c>
      <c r="D96" s="320">
        <f>AMZ!E20</f>
        <v>0</v>
      </c>
      <c r="E96" s="384">
        <f>AMZ!F20</f>
        <v>0</v>
      </c>
      <c r="F96" s="385" t="s">
        <v>4</v>
      </c>
      <c r="G96" s="385">
        <f>AMZ!G20</f>
        <v>0</v>
      </c>
      <c r="H96" s="385">
        <f>AMZ!H20</f>
        <v>0</v>
      </c>
      <c r="I96" s="161">
        <f t="shared" si="4"/>
        <v>0</v>
      </c>
      <c r="J96" s="387">
        <f>IF(Grunddaten_Antrag!E63="ja",AMZ!I20,AMZ!J20)</f>
        <v>0</v>
      </c>
      <c r="K96" s="161">
        <f t="shared" si="8"/>
        <v>0</v>
      </c>
      <c r="L96" s="388">
        <f>AMZ!K20</f>
        <v>0</v>
      </c>
      <c r="M96" s="162">
        <f t="shared" si="5"/>
        <v>0</v>
      </c>
      <c r="N96" s="162">
        <f t="shared" si="6"/>
        <v>0</v>
      </c>
      <c r="O96" s="163">
        <f t="shared" si="7"/>
        <v>0</v>
      </c>
    </row>
    <row r="97" spans="1:15" s="39" customFormat="1" ht="14.1" customHeight="1" x14ac:dyDescent="0.25">
      <c r="A97" s="149">
        <f>AMZ!B21</f>
        <v>0</v>
      </c>
      <c r="B97" s="383">
        <f>AMZ!C21</f>
        <v>0</v>
      </c>
      <c r="C97" s="384" t="str">
        <f>AMZ!D21</f>
        <v xml:space="preserve"> </v>
      </c>
      <c r="D97" s="320">
        <f>AMZ!E21</f>
        <v>0</v>
      </c>
      <c r="E97" s="384">
        <f>AMZ!F21</f>
        <v>0</v>
      </c>
      <c r="F97" s="385" t="s">
        <v>4</v>
      </c>
      <c r="G97" s="385">
        <f>AMZ!G21</f>
        <v>0</v>
      </c>
      <c r="H97" s="385">
        <f>AMZ!H21</f>
        <v>0</v>
      </c>
      <c r="I97" s="161">
        <f t="shared" si="4"/>
        <v>0</v>
      </c>
      <c r="J97" s="387">
        <f>IF(Grunddaten_Antrag!E64="ja",AMZ!I21,AMZ!J21)</f>
        <v>0</v>
      </c>
      <c r="K97" s="161">
        <f t="shared" si="8"/>
        <v>0</v>
      </c>
      <c r="L97" s="388">
        <f>AMZ!K21</f>
        <v>0</v>
      </c>
      <c r="M97" s="162">
        <f t="shared" si="5"/>
        <v>0</v>
      </c>
      <c r="N97" s="162">
        <f t="shared" si="6"/>
        <v>0</v>
      </c>
      <c r="O97" s="163">
        <f t="shared" si="7"/>
        <v>0</v>
      </c>
    </row>
    <row r="98" spans="1:15" s="39" customFormat="1" ht="14.1" customHeight="1" x14ac:dyDescent="0.25">
      <c r="A98" s="149">
        <f>AMZ!B22</f>
        <v>0</v>
      </c>
      <c r="B98" s="383">
        <f>AMZ!C22</f>
        <v>0</v>
      </c>
      <c r="C98" s="384" t="str">
        <f>AMZ!D22</f>
        <v xml:space="preserve"> </v>
      </c>
      <c r="D98" s="320">
        <f>AMZ!E22</f>
        <v>0</v>
      </c>
      <c r="E98" s="384">
        <f>AMZ!F22</f>
        <v>0</v>
      </c>
      <c r="F98" s="385" t="s">
        <v>4</v>
      </c>
      <c r="G98" s="385">
        <f>AMZ!G22</f>
        <v>0</v>
      </c>
      <c r="H98" s="385">
        <f>AMZ!H22</f>
        <v>0</v>
      </c>
      <c r="I98" s="161">
        <f t="shared" si="4"/>
        <v>0</v>
      </c>
      <c r="J98" s="387">
        <f>IF(Grunddaten_Antrag!E65="ja",AMZ!I22,AMZ!J22)</f>
        <v>0</v>
      </c>
      <c r="K98" s="161">
        <f t="shared" si="8"/>
        <v>0</v>
      </c>
      <c r="L98" s="388">
        <f>AMZ!K22</f>
        <v>0</v>
      </c>
      <c r="M98" s="162">
        <f t="shared" si="5"/>
        <v>0</v>
      </c>
      <c r="N98" s="162">
        <f t="shared" si="6"/>
        <v>0</v>
      </c>
      <c r="O98" s="163">
        <f t="shared" si="7"/>
        <v>0</v>
      </c>
    </row>
    <row r="99" spans="1:15" s="39" customFormat="1" ht="14.1" customHeight="1" x14ac:dyDescent="0.25">
      <c r="A99" s="149">
        <f>AMZ!B23</f>
        <v>0</v>
      </c>
      <c r="B99" s="383">
        <f>AMZ!C23</f>
        <v>0</v>
      </c>
      <c r="C99" s="384" t="str">
        <f>AMZ!D23</f>
        <v xml:space="preserve"> </v>
      </c>
      <c r="D99" s="320">
        <f>AMZ!E23</f>
        <v>0</v>
      </c>
      <c r="E99" s="384">
        <f>AMZ!F23</f>
        <v>0</v>
      </c>
      <c r="F99" s="385" t="s">
        <v>4</v>
      </c>
      <c r="G99" s="385">
        <f>AMZ!G23</f>
        <v>0</v>
      </c>
      <c r="H99" s="385">
        <f>AMZ!H23</f>
        <v>0</v>
      </c>
      <c r="I99" s="161">
        <f t="shared" si="4"/>
        <v>0</v>
      </c>
      <c r="J99" s="387">
        <f>IF(Grunddaten_Antrag!E66="ja",AMZ!I23,AMZ!J23)</f>
        <v>0</v>
      </c>
      <c r="K99" s="161">
        <f t="shared" si="8"/>
        <v>0</v>
      </c>
      <c r="L99" s="388">
        <f>AMZ!K23</f>
        <v>0</v>
      </c>
      <c r="M99" s="162">
        <f t="shared" si="5"/>
        <v>0</v>
      </c>
      <c r="N99" s="162">
        <f t="shared" si="6"/>
        <v>0</v>
      </c>
      <c r="O99" s="163">
        <f t="shared" si="7"/>
        <v>0</v>
      </c>
    </row>
    <row r="100" spans="1:15" s="39" customFormat="1" ht="14.1" customHeight="1" x14ac:dyDescent="0.25">
      <c r="A100" s="149">
        <f>AMZ!B24</f>
        <v>0</v>
      </c>
      <c r="B100" s="383">
        <f>AMZ!C24</f>
        <v>0</v>
      </c>
      <c r="C100" s="384" t="str">
        <f>AMZ!D24</f>
        <v xml:space="preserve"> </v>
      </c>
      <c r="D100" s="320">
        <f>AMZ!E24</f>
        <v>0</v>
      </c>
      <c r="E100" s="384">
        <f>AMZ!F24</f>
        <v>0</v>
      </c>
      <c r="F100" s="385" t="s">
        <v>4</v>
      </c>
      <c r="G100" s="385">
        <f>AMZ!G24</f>
        <v>0</v>
      </c>
      <c r="H100" s="385">
        <f>AMZ!H24</f>
        <v>0</v>
      </c>
      <c r="I100" s="161">
        <f t="shared" si="4"/>
        <v>0</v>
      </c>
      <c r="J100" s="387">
        <f>IF(Grunddaten_Antrag!E67="ja",AMZ!I24,AMZ!J24)</f>
        <v>0</v>
      </c>
      <c r="K100" s="161">
        <f t="shared" si="8"/>
        <v>0</v>
      </c>
      <c r="L100" s="388">
        <f>AMZ!K24</f>
        <v>0</v>
      </c>
      <c r="M100" s="162">
        <f t="shared" si="5"/>
        <v>0</v>
      </c>
      <c r="N100" s="162">
        <f t="shared" si="6"/>
        <v>0</v>
      </c>
      <c r="O100" s="163">
        <f t="shared" si="7"/>
        <v>0</v>
      </c>
    </row>
    <row r="101" spans="1:15" s="39" customFormat="1" ht="14.1" customHeight="1" x14ac:dyDescent="0.25">
      <c r="A101" s="149">
        <f>AMZ!B25</f>
        <v>0</v>
      </c>
      <c r="B101" s="383">
        <f>AMZ!C25</f>
        <v>0</v>
      </c>
      <c r="C101" s="384" t="str">
        <f>AMZ!D25</f>
        <v xml:space="preserve"> </v>
      </c>
      <c r="D101" s="320">
        <f>AMZ!E25</f>
        <v>0</v>
      </c>
      <c r="E101" s="384">
        <f>AMZ!F25</f>
        <v>0</v>
      </c>
      <c r="F101" s="385" t="s">
        <v>4</v>
      </c>
      <c r="G101" s="385">
        <f>AMZ!G25</f>
        <v>0</v>
      </c>
      <c r="H101" s="385">
        <f>AMZ!H25</f>
        <v>0</v>
      </c>
      <c r="I101" s="161">
        <f t="shared" si="4"/>
        <v>0</v>
      </c>
      <c r="J101" s="387">
        <f>IF(Grunddaten_Antrag!E68="ja",AMZ!I25,AMZ!J25)</f>
        <v>0</v>
      </c>
      <c r="K101" s="161">
        <f t="shared" si="8"/>
        <v>0</v>
      </c>
      <c r="L101" s="388">
        <f>AMZ!K25</f>
        <v>0</v>
      </c>
      <c r="M101" s="162">
        <f t="shared" si="5"/>
        <v>0</v>
      </c>
      <c r="N101" s="162">
        <f t="shared" si="6"/>
        <v>0</v>
      </c>
      <c r="O101" s="163">
        <f t="shared" si="7"/>
        <v>0</v>
      </c>
    </row>
    <row r="102" spans="1:15" s="39" customFormat="1" ht="14.1" customHeight="1" x14ac:dyDescent="0.25">
      <c r="A102" s="149">
        <f>AMZ!B26</f>
        <v>0</v>
      </c>
      <c r="B102" s="383">
        <f>AMZ!C26</f>
        <v>0</v>
      </c>
      <c r="C102" s="384" t="str">
        <f>AMZ!D26</f>
        <v xml:space="preserve"> </v>
      </c>
      <c r="D102" s="320">
        <f>AMZ!E26</f>
        <v>0</v>
      </c>
      <c r="E102" s="384">
        <f>AMZ!F26</f>
        <v>0</v>
      </c>
      <c r="F102" s="385" t="s">
        <v>4</v>
      </c>
      <c r="G102" s="385">
        <f>AMZ!G26</f>
        <v>0</v>
      </c>
      <c r="H102" s="385">
        <f>AMZ!H26</f>
        <v>0</v>
      </c>
      <c r="I102" s="161">
        <f t="shared" si="4"/>
        <v>0</v>
      </c>
      <c r="J102" s="387">
        <f>IF(Grunddaten_Antrag!E69="ja",AMZ!I26,AMZ!J26)</f>
        <v>0</v>
      </c>
      <c r="K102" s="161">
        <f t="shared" si="8"/>
        <v>0</v>
      </c>
      <c r="L102" s="388">
        <f>AMZ!K26</f>
        <v>0</v>
      </c>
      <c r="M102" s="162">
        <f t="shared" si="5"/>
        <v>0</v>
      </c>
      <c r="N102" s="162">
        <f t="shared" si="6"/>
        <v>0</v>
      </c>
      <c r="O102" s="163">
        <f t="shared" si="7"/>
        <v>0</v>
      </c>
    </row>
    <row r="103" spans="1:15" s="39" customFormat="1" ht="14.1" customHeight="1" x14ac:dyDescent="0.25">
      <c r="A103" s="149">
        <f>AMZ!B27</f>
        <v>0</v>
      </c>
      <c r="B103" s="383">
        <f>AMZ!C27</f>
        <v>0</v>
      </c>
      <c r="C103" s="384" t="str">
        <f>AMZ!D27</f>
        <v xml:space="preserve"> </v>
      </c>
      <c r="D103" s="320">
        <f>AMZ!E27</f>
        <v>0</v>
      </c>
      <c r="E103" s="384">
        <f>AMZ!F27</f>
        <v>0</v>
      </c>
      <c r="F103" s="385" t="s">
        <v>4</v>
      </c>
      <c r="G103" s="385">
        <f>AMZ!G27</f>
        <v>0</v>
      </c>
      <c r="H103" s="385">
        <f>AMZ!H27</f>
        <v>0</v>
      </c>
      <c r="I103" s="161">
        <f t="shared" si="4"/>
        <v>0</v>
      </c>
      <c r="J103" s="387">
        <f>IF(Grunddaten_Antrag!E70="ja",AMZ!I27,AMZ!J27)</f>
        <v>0</v>
      </c>
      <c r="K103" s="161">
        <f t="shared" si="8"/>
        <v>0</v>
      </c>
      <c r="L103" s="388">
        <f>AMZ!K27</f>
        <v>0</v>
      </c>
      <c r="M103" s="162">
        <f t="shared" si="5"/>
        <v>0</v>
      </c>
      <c r="N103" s="162">
        <f t="shared" si="6"/>
        <v>0</v>
      </c>
      <c r="O103" s="163">
        <f t="shared" si="7"/>
        <v>0</v>
      </c>
    </row>
    <row r="104" spans="1:15" s="39" customFormat="1" ht="14.1" customHeight="1" x14ac:dyDescent="0.25">
      <c r="A104" s="149">
        <f>AMZ!B28</f>
        <v>0</v>
      </c>
      <c r="B104" s="383">
        <f>AMZ!C28</f>
        <v>0</v>
      </c>
      <c r="C104" s="384" t="str">
        <f>AMZ!D28</f>
        <v xml:space="preserve"> </v>
      </c>
      <c r="D104" s="320">
        <f>AMZ!E28</f>
        <v>0</v>
      </c>
      <c r="E104" s="384">
        <f>AMZ!F28</f>
        <v>0</v>
      </c>
      <c r="F104" s="385" t="s">
        <v>4</v>
      </c>
      <c r="G104" s="385">
        <f>AMZ!G28</f>
        <v>0</v>
      </c>
      <c r="H104" s="385">
        <f>AMZ!H28</f>
        <v>0</v>
      </c>
      <c r="I104" s="161">
        <f t="shared" si="4"/>
        <v>0</v>
      </c>
      <c r="J104" s="387">
        <f>IF(Grunddaten_Antrag!E71="ja",AMZ!I28,AMZ!J28)</f>
        <v>0</v>
      </c>
      <c r="K104" s="161">
        <f t="shared" si="8"/>
        <v>0</v>
      </c>
      <c r="L104" s="388">
        <f>AMZ!K28</f>
        <v>0</v>
      </c>
      <c r="M104" s="162">
        <f t="shared" si="5"/>
        <v>0</v>
      </c>
      <c r="N104" s="162">
        <f t="shared" si="6"/>
        <v>0</v>
      </c>
      <c r="O104" s="163">
        <f t="shared" si="7"/>
        <v>0</v>
      </c>
    </row>
    <row r="105" spans="1:15" s="39" customFormat="1" ht="14.1" customHeight="1" x14ac:dyDescent="0.25">
      <c r="A105" s="149">
        <f>AMZ!B29</f>
        <v>0</v>
      </c>
      <c r="B105" s="383">
        <f>AMZ!C29</f>
        <v>0</v>
      </c>
      <c r="C105" s="384" t="str">
        <f>AMZ!D29</f>
        <v xml:space="preserve"> </v>
      </c>
      <c r="D105" s="320">
        <f>AMZ!E29</f>
        <v>0</v>
      </c>
      <c r="E105" s="384">
        <f>AMZ!F29</f>
        <v>0</v>
      </c>
      <c r="F105" s="385" t="s">
        <v>4</v>
      </c>
      <c r="G105" s="385">
        <f>AMZ!G29</f>
        <v>0</v>
      </c>
      <c r="H105" s="385">
        <f>AMZ!H29</f>
        <v>0</v>
      </c>
      <c r="I105" s="161">
        <f t="shared" si="4"/>
        <v>0</v>
      </c>
      <c r="J105" s="387">
        <f>IF(Grunddaten_Antrag!E72="ja",AMZ!I29,AMZ!J29)</f>
        <v>0</v>
      </c>
      <c r="K105" s="161">
        <f t="shared" si="8"/>
        <v>0</v>
      </c>
      <c r="L105" s="388">
        <f>AMZ!K29</f>
        <v>0</v>
      </c>
      <c r="M105" s="162">
        <f t="shared" si="5"/>
        <v>0</v>
      </c>
      <c r="N105" s="162">
        <f t="shared" si="6"/>
        <v>0</v>
      </c>
      <c r="O105" s="163">
        <f t="shared" si="7"/>
        <v>0</v>
      </c>
    </row>
    <row r="106" spans="1:15" s="39" customFormat="1" ht="14.1" customHeight="1" x14ac:dyDescent="0.25">
      <c r="A106" s="149">
        <f>AMZ!B30</f>
        <v>0</v>
      </c>
      <c r="B106" s="383">
        <f>AMZ!C30</f>
        <v>0</v>
      </c>
      <c r="C106" s="384" t="str">
        <f>AMZ!D30</f>
        <v xml:space="preserve"> </v>
      </c>
      <c r="D106" s="320">
        <f>AMZ!E30</f>
        <v>0</v>
      </c>
      <c r="E106" s="384">
        <f>AMZ!F30</f>
        <v>0</v>
      </c>
      <c r="F106" s="385" t="s">
        <v>4</v>
      </c>
      <c r="G106" s="385">
        <f>AMZ!G30</f>
        <v>0</v>
      </c>
      <c r="H106" s="385">
        <f>AMZ!H30</f>
        <v>0</v>
      </c>
      <c r="I106" s="161">
        <f t="shared" si="4"/>
        <v>0</v>
      </c>
      <c r="J106" s="387">
        <f>IF(Grunddaten_Antrag!E73="ja",AMZ!I30,AMZ!J30)</f>
        <v>0</v>
      </c>
      <c r="K106" s="161">
        <f t="shared" si="8"/>
        <v>0</v>
      </c>
      <c r="L106" s="388">
        <f>AMZ!K30</f>
        <v>0</v>
      </c>
      <c r="M106" s="162">
        <f t="shared" si="5"/>
        <v>0</v>
      </c>
      <c r="N106" s="162">
        <f t="shared" si="6"/>
        <v>0</v>
      </c>
      <c r="O106" s="163">
        <f t="shared" si="7"/>
        <v>0</v>
      </c>
    </row>
    <row r="107" spans="1:15" s="39" customFormat="1" ht="14.1" customHeight="1" x14ac:dyDescent="0.25">
      <c r="A107" s="149">
        <f>AMZ!B31</f>
        <v>0</v>
      </c>
      <c r="B107" s="383">
        <f>AMZ!C31</f>
        <v>0</v>
      </c>
      <c r="C107" s="384" t="str">
        <f>AMZ!D31</f>
        <v xml:space="preserve"> </v>
      </c>
      <c r="D107" s="320">
        <f>AMZ!E31</f>
        <v>0</v>
      </c>
      <c r="E107" s="384">
        <f>AMZ!F31</f>
        <v>0</v>
      </c>
      <c r="F107" s="385" t="s">
        <v>4</v>
      </c>
      <c r="G107" s="385">
        <f>AMZ!G31</f>
        <v>0</v>
      </c>
      <c r="H107" s="385">
        <f>AMZ!H31</f>
        <v>0</v>
      </c>
      <c r="I107" s="161">
        <f t="shared" si="4"/>
        <v>0</v>
      </c>
      <c r="J107" s="387">
        <f>IF(Grunddaten_Antrag!E74="ja",AMZ!I31,AMZ!J31)</f>
        <v>0</v>
      </c>
      <c r="K107" s="161">
        <f t="shared" si="8"/>
        <v>0</v>
      </c>
      <c r="L107" s="388">
        <f>AMZ!K31</f>
        <v>0</v>
      </c>
      <c r="M107" s="162">
        <f t="shared" si="5"/>
        <v>0</v>
      </c>
      <c r="N107" s="162">
        <f t="shared" si="6"/>
        <v>0</v>
      </c>
      <c r="O107" s="163">
        <f t="shared" si="7"/>
        <v>0</v>
      </c>
    </row>
    <row r="108" spans="1:15" s="39" customFormat="1" ht="14.1" customHeight="1" x14ac:dyDescent="0.25">
      <c r="A108" s="149">
        <f>AMZ!B32</f>
        <v>0</v>
      </c>
      <c r="B108" s="383">
        <f>AMZ!C32</f>
        <v>0</v>
      </c>
      <c r="C108" s="384" t="str">
        <f>AMZ!D32</f>
        <v xml:space="preserve"> </v>
      </c>
      <c r="D108" s="320">
        <f>AMZ!E32</f>
        <v>0</v>
      </c>
      <c r="E108" s="384">
        <f>AMZ!F32</f>
        <v>0</v>
      </c>
      <c r="F108" s="385" t="s">
        <v>4</v>
      </c>
      <c r="G108" s="385">
        <f>AMZ!G32</f>
        <v>0</v>
      </c>
      <c r="H108" s="385">
        <f>AMZ!H32</f>
        <v>0</v>
      </c>
      <c r="I108" s="161">
        <f t="shared" si="4"/>
        <v>0</v>
      </c>
      <c r="J108" s="387">
        <f>IF(Grunddaten_Antrag!E75="ja",AMZ!I32,AMZ!J32)</f>
        <v>0</v>
      </c>
      <c r="K108" s="161">
        <f t="shared" si="8"/>
        <v>0</v>
      </c>
      <c r="L108" s="388">
        <f>AMZ!K32</f>
        <v>0</v>
      </c>
      <c r="M108" s="162">
        <f t="shared" si="5"/>
        <v>0</v>
      </c>
      <c r="N108" s="162">
        <f t="shared" si="6"/>
        <v>0</v>
      </c>
      <c r="O108" s="163">
        <f t="shared" si="7"/>
        <v>0</v>
      </c>
    </row>
    <row r="109" spans="1:15" s="39" customFormat="1" ht="14.1" customHeight="1" x14ac:dyDescent="0.25">
      <c r="A109" s="149">
        <f>AMZ!B33</f>
        <v>0</v>
      </c>
      <c r="B109" s="383">
        <f>AMZ!C33</f>
        <v>0</v>
      </c>
      <c r="C109" s="384" t="str">
        <f>AMZ!D33</f>
        <v xml:space="preserve"> </v>
      </c>
      <c r="D109" s="320">
        <f>AMZ!E33</f>
        <v>0</v>
      </c>
      <c r="E109" s="384">
        <f>AMZ!F33</f>
        <v>0</v>
      </c>
      <c r="F109" s="385" t="s">
        <v>4</v>
      </c>
      <c r="G109" s="385">
        <f>AMZ!G33</f>
        <v>0</v>
      </c>
      <c r="H109" s="385">
        <f>AMZ!H33</f>
        <v>0</v>
      </c>
      <c r="I109" s="161">
        <f t="shared" si="4"/>
        <v>0</v>
      </c>
      <c r="J109" s="387">
        <f>IF(Grunddaten_Antrag!E76="ja",AMZ!I33,AMZ!J33)</f>
        <v>0</v>
      </c>
      <c r="K109" s="161">
        <f t="shared" si="8"/>
        <v>0</v>
      </c>
      <c r="L109" s="388">
        <f>AMZ!K33</f>
        <v>0</v>
      </c>
      <c r="M109" s="162">
        <f t="shared" si="5"/>
        <v>0</v>
      </c>
      <c r="N109" s="162">
        <f t="shared" si="6"/>
        <v>0</v>
      </c>
      <c r="O109" s="163">
        <f t="shared" si="7"/>
        <v>0</v>
      </c>
    </row>
    <row r="110" spans="1:15" s="39" customFormat="1" ht="14.1" customHeight="1" x14ac:dyDescent="0.25">
      <c r="A110" s="149">
        <f>AMZ!B34</f>
        <v>0</v>
      </c>
      <c r="B110" s="383">
        <f>AMZ!C34</f>
        <v>0</v>
      </c>
      <c r="C110" s="384" t="str">
        <f>AMZ!D34</f>
        <v xml:space="preserve"> </v>
      </c>
      <c r="D110" s="320">
        <f>AMZ!E34</f>
        <v>0</v>
      </c>
      <c r="E110" s="384">
        <f>AMZ!F34</f>
        <v>0</v>
      </c>
      <c r="F110" s="385" t="s">
        <v>4</v>
      </c>
      <c r="G110" s="385">
        <f>AMZ!G34</f>
        <v>0</v>
      </c>
      <c r="H110" s="385">
        <f>AMZ!H34</f>
        <v>0</v>
      </c>
      <c r="I110" s="161">
        <f t="shared" si="4"/>
        <v>0</v>
      </c>
      <c r="J110" s="387">
        <f>IF(Grunddaten_Antrag!E77="ja",AMZ!I34,AMZ!J34)</f>
        <v>0</v>
      </c>
      <c r="K110" s="161">
        <f t="shared" si="8"/>
        <v>0</v>
      </c>
      <c r="L110" s="388">
        <f>AMZ!K34</f>
        <v>0</v>
      </c>
      <c r="M110" s="162">
        <f t="shared" si="5"/>
        <v>0</v>
      </c>
      <c r="N110" s="162">
        <f t="shared" si="6"/>
        <v>0</v>
      </c>
      <c r="O110" s="163">
        <f t="shared" si="7"/>
        <v>0</v>
      </c>
    </row>
    <row r="111" spans="1:15" s="39" customFormat="1" ht="14.1" customHeight="1" x14ac:dyDescent="0.25">
      <c r="A111" s="149">
        <f>AMZ!B35</f>
        <v>0</v>
      </c>
      <c r="B111" s="383">
        <f>AMZ!C35</f>
        <v>0</v>
      </c>
      <c r="C111" s="384" t="str">
        <f>AMZ!D35</f>
        <v xml:space="preserve"> </v>
      </c>
      <c r="D111" s="320">
        <f>AMZ!E35</f>
        <v>0</v>
      </c>
      <c r="E111" s="384">
        <f>AMZ!F35</f>
        <v>0</v>
      </c>
      <c r="F111" s="385" t="s">
        <v>4</v>
      </c>
      <c r="G111" s="385">
        <f>AMZ!G35</f>
        <v>0</v>
      </c>
      <c r="H111" s="385">
        <f>AMZ!H35</f>
        <v>0</v>
      </c>
      <c r="I111" s="161">
        <f t="shared" si="4"/>
        <v>0</v>
      </c>
      <c r="J111" s="387">
        <f>IF(Grunddaten_Antrag!E78="ja",AMZ!I35,AMZ!J35)</f>
        <v>0</v>
      </c>
      <c r="K111" s="161">
        <f t="shared" si="8"/>
        <v>0</v>
      </c>
      <c r="L111" s="388">
        <f>AMZ!K35</f>
        <v>0</v>
      </c>
      <c r="M111" s="162">
        <f t="shared" si="5"/>
        <v>0</v>
      </c>
      <c r="N111" s="162">
        <f t="shared" si="6"/>
        <v>0</v>
      </c>
      <c r="O111" s="163">
        <f t="shared" si="7"/>
        <v>0</v>
      </c>
    </row>
    <row r="112" spans="1:15" s="39" customFormat="1" ht="14.1" customHeight="1" x14ac:dyDescent="0.25">
      <c r="A112" s="149">
        <f>AMZ!B36</f>
        <v>0</v>
      </c>
      <c r="B112" s="383">
        <f>AMZ!C36</f>
        <v>0</v>
      </c>
      <c r="C112" s="384" t="str">
        <f>AMZ!D36</f>
        <v xml:space="preserve"> </v>
      </c>
      <c r="D112" s="320">
        <f>AMZ!E36</f>
        <v>0</v>
      </c>
      <c r="E112" s="384">
        <f>AMZ!F36</f>
        <v>0</v>
      </c>
      <c r="F112" s="385" t="s">
        <v>4</v>
      </c>
      <c r="G112" s="385">
        <f>AMZ!G36</f>
        <v>0</v>
      </c>
      <c r="H112" s="385">
        <f>AMZ!H36</f>
        <v>0</v>
      </c>
      <c r="I112" s="161">
        <f t="shared" si="4"/>
        <v>0</v>
      </c>
      <c r="J112" s="387">
        <f>IF(Grunddaten_Antrag!E79="ja",AMZ!I36,AMZ!J36)</f>
        <v>0</v>
      </c>
      <c r="K112" s="161">
        <f t="shared" si="8"/>
        <v>0</v>
      </c>
      <c r="L112" s="388">
        <f>AMZ!K36</f>
        <v>0</v>
      </c>
      <c r="M112" s="162">
        <f t="shared" si="5"/>
        <v>0</v>
      </c>
      <c r="N112" s="162">
        <f t="shared" si="6"/>
        <v>0</v>
      </c>
      <c r="O112" s="163">
        <f t="shared" si="7"/>
        <v>0</v>
      </c>
    </row>
    <row r="113" spans="1:15" s="39" customFormat="1" ht="14.1" customHeight="1" x14ac:dyDescent="0.25">
      <c r="A113" s="149">
        <f>AMZ!B37</f>
        <v>0</v>
      </c>
      <c r="B113" s="383">
        <f>AMZ!C37</f>
        <v>0</v>
      </c>
      <c r="C113" s="384" t="str">
        <f>AMZ!D37</f>
        <v xml:space="preserve"> </v>
      </c>
      <c r="D113" s="320">
        <f>AMZ!E37</f>
        <v>0</v>
      </c>
      <c r="E113" s="384">
        <f>AMZ!F37</f>
        <v>0</v>
      </c>
      <c r="F113" s="385" t="s">
        <v>4</v>
      </c>
      <c r="G113" s="385">
        <f>AMZ!G37</f>
        <v>0</v>
      </c>
      <c r="H113" s="385">
        <f>AMZ!H37</f>
        <v>0</v>
      </c>
      <c r="I113" s="161">
        <f t="shared" si="4"/>
        <v>0</v>
      </c>
      <c r="J113" s="387">
        <f>IF(Grunddaten_Antrag!E80="ja",AMZ!I37,AMZ!J37)</f>
        <v>0</v>
      </c>
      <c r="K113" s="161">
        <f t="shared" si="8"/>
        <v>0</v>
      </c>
      <c r="L113" s="388">
        <f>AMZ!K37</f>
        <v>0</v>
      </c>
      <c r="M113" s="162">
        <f t="shared" si="5"/>
        <v>0</v>
      </c>
      <c r="N113" s="162">
        <f t="shared" si="6"/>
        <v>0</v>
      </c>
      <c r="O113" s="163">
        <f t="shared" si="7"/>
        <v>0</v>
      </c>
    </row>
    <row r="114" spans="1:15" s="39" customFormat="1" ht="14.1" customHeight="1" x14ac:dyDescent="0.25">
      <c r="A114" s="149">
        <f>AMZ!B38</f>
        <v>0</v>
      </c>
      <c r="B114" s="383">
        <f>AMZ!C38</f>
        <v>0</v>
      </c>
      <c r="C114" s="384" t="str">
        <f>AMZ!D38</f>
        <v xml:space="preserve"> </v>
      </c>
      <c r="D114" s="320">
        <f>AMZ!E38</f>
        <v>0</v>
      </c>
      <c r="E114" s="384">
        <f>AMZ!F38</f>
        <v>0</v>
      </c>
      <c r="F114" s="385" t="s">
        <v>4</v>
      </c>
      <c r="G114" s="385">
        <f>AMZ!G38</f>
        <v>0</v>
      </c>
      <c r="H114" s="385">
        <f>AMZ!H38</f>
        <v>0</v>
      </c>
      <c r="I114" s="161">
        <f t="shared" si="4"/>
        <v>0</v>
      </c>
      <c r="J114" s="387">
        <f>IF(Grunddaten_Antrag!E81="ja",AMZ!I38,AMZ!J38)</f>
        <v>0</v>
      </c>
      <c r="K114" s="161">
        <f t="shared" si="8"/>
        <v>0</v>
      </c>
      <c r="L114" s="388">
        <f>AMZ!K38</f>
        <v>0</v>
      </c>
      <c r="M114" s="162">
        <f t="shared" si="5"/>
        <v>0</v>
      </c>
      <c r="N114" s="162">
        <f t="shared" si="6"/>
        <v>0</v>
      </c>
      <c r="O114" s="163">
        <f t="shared" si="7"/>
        <v>0</v>
      </c>
    </row>
    <row r="115" spans="1:15" s="39" customFormat="1" ht="14.1" customHeight="1" x14ac:dyDescent="0.25">
      <c r="A115" s="149">
        <f>AMZ!B39</f>
        <v>0</v>
      </c>
      <c r="B115" s="383">
        <f>AMZ!C39</f>
        <v>0</v>
      </c>
      <c r="C115" s="384" t="str">
        <f>AMZ!D39</f>
        <v xml:space="preserve"> </v>
      </c>
      <c r="D115" s="320">
        <f>AMZ!E39</f>
        <v>0</v>
      </c>
      <c r="E115" s="384">
        <f>AMZ!F39</f>
        <v>0</v>
      </c>
      <c r="F115" s="385" t="s">
        <v>4</v>
      </c>
      <c r="G115" s="385">
        <f>AMZ!G39</f>
        <v>0</v>
      </c>
      <c r="H115" s="385">
        <f>AMZ!H39</f>
        <v>0</v>
      </c>
      <c r="I115" s="161">
        <f t="shared" si="4"/>
        <v>0</v>
      </c>
      <c r="J115" s="387">
        <f>IF(Grunddaten_Antrag!E82="ja",AMZ!I39,AMZ!J39)</f>
        <v>0</v>
      </c>
      <c r="K115" s="161">
        <f t="shared" si="8"/>
        <v>0</v>
      </c>
      <c r="L115" s="388">
        <f>AMZ!K39</f>
        <v>0</v>
      </c>
      <c r="M115" s="162">
        <f t="shared" si="5"/>
        <v>0</v>
      </c>
      <c r="N115" s="162">
        <f t="shared" si="6"/>
        <v>0</v>
      </c>
      <c r="O115" s="163">
        <f t="shared" si="7"/>
        <v>0</v>
      </c>
    </row>
    <row r="116" spans="1:15" s="39" customFormat="1" ht="14.1" customHeight="1" x14ac:dyDescent="0.25">
      <c r="A116" s="149">
        <f>AMZ!B40</f>
        <v>0</v>
      </c>
      <c r="B116" s="383">
        <f>AMZ!C40</f>
        <v>0</v>
      </c>
      <c r="C116" s="384" t="str">
        <f>AMZ!D40</f>
        <v xml:space="preserve"> </v>
      </c>
      <c r="D116" s="320">
        <f>AMZ!E40</f>
        <v>0</v>
      </c>
      <c r="E116" s="384">
        <f>AMZ!F40</f>
        <v>0</v>
      </c>
      <c r="F116" s="385" t="s">
        <v>4</v>
      </c>
      <c r="G116" s="385">
        <f>AMZ!G40</f>
        <v>0</v>
      </c>
      <c r="H116" s="385">
        <f>AMZ!H40</f>
        <v>0</v>
      </c>
      <c r="I116" s="161">
        <f t="shared" si="4"/>
        <v>0</v>
      </c>
      <c r="J116" s="387">
        <f>IF(Grunddaten_Antrag!E83="ja",AMZ!I40,AMZ!J40)</f>
        <v>0</v>
      </c>
      <c r="K116" s="161">
        <f t="shared" si="8"/>
        <v>0</v>
      </c>
      <c r="L116" s="388">
        <f>AMZ!K40</f>
        <v>0</v>
      </c>
      <c r="M116" s="162">
        <f t="shared" si="5"/>
        <v>0</v>
      </c>
      <c r="N116" s="162">
        <f t="shared" si="6"/>
        <v>0</v>
      </c>
      <c r="O116" s="163">
        <f t="shared" si="7"/>
        <v>0</v>
      </c>
    </row>
    <row r="117" spans="1:15" s="39" customFormat="1" ht="14.1" customHeight="1" x14ac:dyDescent="0.25">
      <c r="A117" s="149">
        <f>AMZ!B41</f>
        <v>0</v>
      </c>
      <c r="B117" s="383">
        <f>AMZ!C41</f>
        <v>0</v>
      </c>
      <c r="C117" s="384" t="str">
        <f>AMZ!D41</f>
        <v xml:space="preserve"> </v>
      </c>
      <c r="D117" s="320">
        <f>AMZ!E41</f>
        <v>0</v>
      </c>
      <c r="E117" s="384">
        <f>AMZ!F41</f>
        <v>0</v>
      </c>
      <c r="F117" s="385" t="s">
        <v>4</v>
      </c>
      <c r="G117" s="385">
        <f>AMZ!G41</f>
        <v>0</v>
      </c>
      <c r="H117" s="385">
        <f>AMZ!H41</f>
        <v>0</v>
      </c>
      <c r="I117" s="161">
        <f t="shared" si="4"/>
        <v>0</v>
      </c>
      <c r="J117" s="387">
        <f>IF(Grunddaten_Antrag!E84="ja",AMZ!I41,AMZ!J41)</f>
        <v>0</v>
      </c>
      <c r="K117" s="161">
        <f t="shared" si="8"/>
        <v>0</v>
      </c>
      <c r="L117" s="388">
        <f>AMZ!K41</f>
        <v>0</v>
      </c>
      <c r="M117" s="162">
        <f t="shared" si="5"/>
        <v>0</v>
      </c>
      <c r="N117" s="162">
        <f t="shared" si="6"/>
        <v>0</v>
      </c>
      <c r="O117" s="163">
        <f t="shared" si="7"/>
        <v>0</v>
      </c>
    </row>
    <row r="118" spans="1:15" s="39" customFormat="1" ht="14.1" customHeight="1" x14ac:dyDescent="0.25">
      <c r="A118" s="149">
        <f>AMZ!B42</f>
        <v>0</v>
      </c>
      <c r="B118" s="383">
        <f>AMZ!C42</f>
        <v>0</v>
      </c>
      <c r="C118" s="384" t="str">
        <f>AMZ!D42</f>
        <v xml:space="preserve"> </v>
      </c>
      <c r="D118" s="320">
        <f>AMZ!E42</f>
        <v>0</v>
      </c>
      <c r="E118" s="384">
        <f>AMZ!F42</f>
        <v>0</v>
      </c>
      <c r="F118" s="385" t="s">
        <v>4</v>
      </c>
      <c r="G118" s="385">
        <f>AMZ!G42</f>
        <v>0</v>
      </c>
      <c r="H118" s="385">
        <f>AMZ!H42</f>
        <v>0</v>
      </c>
      <c r="I118" s="161">
        <f t="shared" si="4"/>
        <v>0</v>
      </c>
      <c r="J118" s="387">
        <f>IF(Grunddaten_Antrag!E85="ja",AMZ!I42,AMZ!J42)</f>
        <v>0</v>
      </c>
      <c r="K118" s="161">
        <f t="shared" si="8"/>
        <v>0</v>
      </c>
      <c r="L118" s="388">
        <f>AMZ!K42</f>
        <v>0</v>
      </c>
      <c r="M118" s="162">
        <f t="shared" si="5"/>
        <v>0</v>
      </c>
      <c r="N118" s="162">
        <f t="shared" si="6"/>
        <v>0</v>
      </c>
      <c r="O118" s="163">
        <f t="shared" si="7"/>
        <v>0</v>
      </c>
    </row>
    <row r="119" spans="1:15" s="39" customFormat="1" ht="14.1" customHeight="1" x14ac:dyDescent="0.25">
      <c r="A119" s="149">
        <f>AMZ!B43</f>
        <v>0</v>
      </c>
      <c r="B119" s="383">
        <f>AMZ!C43</f>
        <v>0</v>
      </c>
      <c r="C119" s="384" t="str">
        <f>AMZ!D43</f>
        <v xml:space="preserve"> </v>
      </c>
      <c r="D119" s="320">
        <f>AMZ!E43</f>
        <v>0</v>
      </c>
      <c r="E119" s="384">
        <f>AMZ!F43</f>
        <v>0</v>
      </c>
      <c r="F119" s="385" t="s">
        <v>4</v>
      </c>
      <c r="G119" s="385">
        <f>AMZ!G43</f>
        <v>0</v>
      </c>
      <c r="H119" s="385">
        <f>AMZ!H43</f>
        <v>0</v>
      </c>
      <c r="I119" s="161">
        <f t="shared" si="4"/>
        <v>0</v>
      </c>
      <c r="J119" s="387">
        <f>IF(Grunddaten_Antrag!E86="ja",AMZ!I43,AMZ!J43)</f>
        <v>0</v>
      </c>
      <c r="K119" s="161">
        <f t="shared" si="8"/>
        <v>0</v>
      </c>
      <c r="L119" s="388">
        <f>AMZ!K43</f>
        <v>0</v>
      </c>
      <c r="M119" s="162">
        <f t="shared" si="5"/>
        <v>0</v>
      </c>
      <c r="N119" s="162">
        <f t="shared" si="6"/>
        <v>0</v>
      </c>
      <c r="O119" s="163">
        <f t="shared" si="7"/>
        <v>0</v>
      </c>
    </row>
    <row r="120" spans="1:15" s="39" customFormat="1" ht="14.1" customHeight="1" x14ac:dyDescent="0.25">
      <c r="A120" s="149">
        <f>AMZ!B44</f>
        <v>0</v>
      </c>
      <c r="B120" s="383">
        <f>AMZ!C44</f>
        <v>0</v>
      </c>
      <c r="C120" s="384" t="str">
        <f>AMZ!D44</f>
        <v xml:space="preserve"> </v>
      </c>
      <c r="D120" s="320">
        <f>AMZ!E44</f>
        <v>0</v>
      </c>
      <c r="E120" s="384">
        <f>AMZ!F44</f>
        <v>0</v>
      </c>
      <c r="F120" s="385" t="s">
        <v>4</v>
      </c>
      <c r="G120" s="385">
        <f>AMZ!G44</f>
        <v>0</v>
      </c>
      <c r="H120" s="385">
        <f>AMZ!H44</f>
        <v>0</v>
      </c>
      <c r="I120" s="161">
        <f t="shared" si="4"/>
        <v>0</v>
      </c>
      <c r="J120" s="387">
        <f>IF(Grunddaten_Antrag!E87="ja",AMZ!I44,AMZ!J44)</f>
        <v>0</v>
      </c>
      <c r="K120" s="161">
        <f t="shared" si="8"/>
        <v>0</v>
      </c>
      <c r="L120" s="388">
        <f>AMZ!K44</f>
        <v>0</v>
      </c>
      <c r="M120" s="162">
        <f t="shared" si="5"/>
        <v>0</v>
      </c>
      <c r="N120" s="162">
        <f t="shared" si="6"/>
        <v>0</v>
      </c>
      <c r="O120" s="163">
        <f t="shared" si="7"/>
        <v>0</v>
      </c>
    </row>
    <row r="121" spans="1:15" s="39" customFormat="1" ht="14.1" customHeight="1" x14ac:dyDescent="0.25">
      <c r="A121" s="149">
        <f>AMZ!B45</f>
        <v>0</v>
      </c>
      <c r="B121" s="383">
        <f>AMZ!C45</f>
        <v>0</v>
      </c>
      <c r="C121" s="384" t="str">
        <f>AMZ!D45</f>
        <v xml:space="preserve"> </v>
      </c>
      <c r="D121" s="320">
        <f>AMZ!E45</f>
        <v>0</v>
      </c>
      <c r="E121" s="384">
        <f>AMZ!F45</f>
        <v>0</v>
      </c>
      <c r="F121" s="385" t="s">
        <v>4</v>
      </c>
      <c r="G121" s="385">
        <f>AMZ!G45</f>
        <v>0</v>
      </c>
      <c r="H121" s="385">
        <f>AMZ!H45</f>
        <v>0</v>
      </c>
      <c r="I121" s="161">
        <f t="shared" si="4"/>
        <v>0</v>
      </c>
      <c r="J121" s="387">
        <f>IF(Grunddaten_Antrag!E88="ja",AMZ!I45,AMZ!J45)</f>
        <v>0</v>
      </c>
      <c r="K121" s="161">
        <f t="shared" si="8"/>
        <v>0</v>
      </c>
      <c r="L121" s="388">
        <f>AMZ!K45</f>
        <v>0</v>
      </c>
      <c r="M121" s="162">
        <f t="shared" si="5"/>
        <v>0</v>
      </c>
      <c r="N121" s="162">
        <f t="shared" si="6"/>
        <v>0</v>
      </c>
      <c r="O121" s="163">
        <f t="shared" si="7"/>
        <v>0</v>
      </c>
    </row>
    <row r="122" spans="1:15" s="39" customFormat="1" ht="14.1" customHeight="1" x14ac:dyDescent="0.25">
      <c r="A122" s="149">
        <f>AMZ!B46</f>
        <v>0</v>
      </c>
      <c r="B122" s="383">
        <f>AMZ!C46</f>
        <v>0</v>
      </c>
      <c r="C122" s="384" t="str">
        <f>AMZ!D46</f>
        <v xml:space="preserve"> </v>
      </c>
      <c r="D122" s="320">
        <f>AMZ!E46</f>
        <v>0</v>
      </c>
      <c r="E122" s="384">
        <f>AMZ!F46</f>
        <v>0</v>
      </c>
      <c r="F122" s="385" t="s">
        <v>4</v>
      </c>
      <c r="G122" s="385">
        <f>AMZ!G46</f>
        <v>0</v>
      </c>
      <c r="H122" s="385">
        <f>AMZ!H46</f>
        <v>0</v>
      </c>
      <c r="I122" s="161">
        <f t="shared" si="4"/>
        <v>0</v>
      </c>
      <c r="J122" s="387">
        <f>IF(Grunddaten_Antrag!E89="ja",AMZ!I46,AMZ!J46)</f>
        <v>0</v>
      </c>
      <c r="K122" s="161">
        <f t="shared" si="8"/>
        <v>0</v>
      </c>
      <c r="L122" s="388">
        <f>AMZ!K46</f>
        <v>0</v>
      </c>
      <c r="M122" s="162">
        <f t="shared" si="5"/>
        <v>0</v>
      </c>
      <c r="N122" s="162">
        <f t="shared" si="6"/>
        <v>0</v>
      </c>
      <c r="O122" s="163">
        <f t="shared" si="7"/>
        <v>0</v>
      </c>
    </row>
    <row r="123" spans="1:15" s="39" customFormat="1" ht="14.1" customHeight="1" x14ac:dyDescent="0.25">
      <c r="A123" s="149">
        <f>AMZ!B47</f>
        <v>0</v>
      </c>
      <c r="B123" s="383">
        <f>AMZ!C47</f>
        <v>0</v>
      </c>
      <c r="C123" s="384" t="str">
        <f>AMZ!D47</f>
        <v xml:space="preserve"> </v>
      </c>
      <c r="D123" s="320">
        <f>AMZ!E47</f>
        <v>0</v>
      </c>
      <c r="E123" s="384">
        <f>AMZ!F47</f>
        <v>0</v>
      </c>
      <c r="F123" s="385" t="s">
        <v>4</v>
      </c>
      <c r="G123" s="385">
        <f>AMZ!G47</f>
        <v>0</v>
      </c>
      <c r="H123" s="385">
        <f>AMZ!H47</f>
        <v>0</v>
      </c>
      <c r="I123" s="161">
        <f t="shared" si="4"/>
        <v>0</v>
      </c>
      <c r="J123" s="387">
        <f>IF(Grunddaten_Antrag!E90="ja",AMZ!I47,AMZ!J47)</f>
        <v>0</v>
      </c>
      <c r="K123" s="161">
        <f t="shared" si="8"/>
        <v>0</v>
      </c>
      <c r="L123" s="388">
        <f>AMZ!K47</f>
        <v>0</v>
      </c>
      <c r="M123" s="162">
        <f t="shared" si="5"/>
        <v>0</v>
      </c>
      <c r="N123" s="162">
        <f t="shared" si="6"/>
        <v>0</v>
      </c>
      <c r="O123" s="163">
        <f t="shared" si="7"/>
        <v>0</v>
      </c>
    </row>
    <row r="124" spans="1:15" s="39" customFormat="1" ht="14.1" customHeight="1" x14ac:dyDescent="0.25">
      <c r="A124" s="149">
        <f>AMZ!B48</f>
        <v>0</v>
      </c>
      <c r="B124" s="383">
        <f>AMZ!C48</f>
        <v>0</v>
      </c>
      <c r="C124" s="384" t="str">
        <f>AMZ!D48</f>
        <v xml:space="preserve"> </v>
      </c>
      <c r="D124" s="320">
        <f>AMZ!E48</f>
        <v>0</v>
      </c>
      <c r="E124" s="384">
        <f>AMZ!F48</f>
        <v>0</v>
      </c>
      <c r="F124" s="385" t="s">
        <v>4</v>
      </c>
      <c r="G124" s="385">
        <f>AMZ!G48</f>
        <v>0</v>
      </c>
      <c r="H124" s="385">
        <f>AMZ!H48</f>
        <v>0</v>
      </c>
      <c r="I124" s="161">
        <f t="shared" si="4"/>
        <v>0</v>
      </c>
      <c r="J124" s="387">
        <f>IF(Grunddaten_Antrag!E91="ja",AMZ!I48,AMZ!J48)</f>
        <v>0</v>
      </c>
      <c r="K124" s="161">
        <f t="shared" si="8"/>
        <v>0</v>
      </c>
      <c r="L124" s="388">
        <f>AMZ!K48</f>
        <v>0</v>
      </c>
      <c r="M124" s="162">
        <f t="shared" si="5"/>
        <v>0</v>
      </c>
      <c r="N124" s="162">
        <f t="shared" si="6"/>
        <v>0</v>
      </c>
      <c r="O124" s="163">
        <f t="shared" si="7"/>
        <v>0</v>
      </c>
    </row>
    <row r="125" spans="1:15" ht="14.1" customHeight="1" x14ac:dyDescent="0.25">
      <c r="A125" s="149">
        <f>AMZ!B49</f>
        <v>0</v>
      </c>
      <c r="B125" s="383">
        <f>AMZ!C49</f>
        <v>0</v>
      </c>
      <c r="C125" s="384" t="str">
        <f>AMZ!D49</f>
        <v xml:space="preserve"> </v>
      </c>
      <c r="D125" s="320">
        <f>AMZ!E49</f>
        <v>0</v>
      </c>
      <c r="E125" s="384">
        <f>AMZ!F49</f>
        <v>0</v>
      </c>
      <c r="F125" s="385" t="s">
        <v>4</v>
      </c>
      <c r="G125" s="385">
        <f>AMZ!G49</f>
        <v>0</v>
      </c>
      <c r="H125" s="385">
        <f>AMZ!H49</f>
        <v>0</v>
      </c>
      <c r="I125" s="161">
        <f t="shared" si="4"/>
        <v>0</v>
      </c>
      <c r="J125" s="387">
        <f>IF(Grunddaten_Antrag!E92="ja",AMZ!I49,AMZ!J49)</f>
        <v>0</v>
      </c>
      <c r="K125" s="161">
        <f t="shared" si="8"/>
        <v>0</v>
      </c>
      <c r="L125" s="388">
        <f>AMZ!K49</f>
        <v>0</v>
      </c>
      <c r="M125" s="162">
        <f t="shared" si="5"/>
        <v>0</v>
      </c>
      <c r="N125" s="162">
        <f t="shared" si="6"/>
        <v>0</v>
      </c>
      <c r="O125" s="163">
        <f t="shared" si="7"/>
        <v>0</v>
      </c>
    </row>
    <row r="126" spans="1:15" ht="14.1" customHeight="1" x14ac:dyDescent="0.25">
      <c r="A126" s="149">
        <f>AMZ!B50</f>
        <v>0</v>
      </c>
      <c r="B126" s="383">
        <f>AMZ!C50</f>
        <v>0</v>
      </c>
      <c r="C126" s="384" t="str">
        <f>AMZ!D50</f>
        <v xml:space="preserve"> </v>
      </c>
      <c r="D126" s="320">
        <f>AMZ!E50</f>
        <v>0</v>
      </c>
      <c r="E126" s="384">
        <f>AMZ!F50</f>
        <v>0</v>
      </c>
      <c r="F126" s="385" t="s">
        <v>4</v>
      </c>
      <c r="G126" s="385">
        <f>AMZ!G50</f>
        <v>0</v>
      </c>
      <c r="H126" s="385">
        <f>AMZ!H50</f>
        <v>0</v>
      </c>
      <c r="I126" s="161">
        <f t="shared" si="4"/>
        <v>0</v>
      </c>
      <c r="J126" s="387">
        <f>IF(Grunddaten_Antrag!E93="ja",AMZ!I50,AMZ!J50)</f>
        <v>0</v>
      </c>
      <c r="K126" s="161">
        <f t="shared" si="8"/>
        <v>0</v>
      </c>
      <c r="L126" s="388">
        <f>AMZ!K50</f>
        <v>0</v>
      </c>
      <c r="M126" s="162">
        <f t="shared" si="5"/>
        <v>0</v>
      </c>
      <c r="N126" s="162">
        <f t="shared" si="6"/>
        <v>0</v>
      </c>
      <c r="O126" s="163">
        <f t="shared" si="7"/>
        <v>0</v>
      </c>
    </row>
    <row r="127" spans="1:15" ht="14.1" customHeight="1" x14ac:dyDescent="0.25">
      <c r="A127" s="149">
        <f>AMZ!B51</f>
        <v>0</v>
      </c>
      <c r="B127" s="383">
        <f>AMZ!C51</f>
        <v>0</v>
      </c>
      <c r="C127" s="384" t="str">
        <f>AMZ!D51</f>
        <v xml:space="preserve"> </v>
      </c>
      <c r="D127" s="320">
        <f>AMZ!E51</f>
        <v>0</v>
      </c>
      <c r="E127" s="384">
        <f>AMZ!F51</f>
        <v>0</v>
      </c>
      <c r="F127" s="385" t="s">
        <v>4</v>
      </c>
      <c r="G127" s="385">
        <f>AMZ!G51</f>
        <v>0</v>
      </c>
      <c r="H127" s="385">
        <f>AMZ!H51</f>
        <v>0</v>
      </c>
      <c r="I127" s="161">
        <f t="shared" si="4"/>
        <v>0</v>
      </c>
      <c r="J127" s="387">
        <f>IF(Grunddaten_Antrag!E94="ja",AMZ!I51,AMZ!J51)</f>
        <v>0</v>
      </c>
      <c r="K127" s="161">
        <f t="shared" si="8"/>
        <v>0</v>
      </c>
      <c r="L127" s="388">
        <f>AMZ!K51</f>
        <v>0</v>
      </c>
      <c r="M127" s="162">
        <f t="shared" si="5"/>
        <v>0</v>
      </c>
      <c r="N127" s="162">
        <f t="shared" si="6"/>
        <v>0</v>
      </c>
      <c r="O127" s="163">
        <f t="shared" si="7"/>
        <v>0</v>
      </c>
    </row>
    <row r="128" spans="1:15" ht="14.1" hidden="1" customHeight="1" x14ac:dyDescent="0.25">
      <c r="A128" s="149">
        <f>AMZ!B52</f>
        <v>0</v>
      </c>
      <c r="B128" s="383">
        <f>AMZ!C52</f>
        <v>0</v>
      </c>
      <c r="C128" s="384" t="str">
        <f>AMZ!D52</f>
        <v xml:space="preserve"> </v>
      </c>
      <c r="D128" s="320">
        <f>AMZ!E52</f>
        <v>0</v>
      </c>
      <c r="E128" s="384">
        <f>AMZ!F52</f>
        <v>0</v>
      </c>
      <c r="F128" s="385" t="s">
        <v>83</v>
      </c>
      <c r="G128" s="385">
        <f>AMZ!G52</f>
        <v>0</v>
      </c>
      <c r="H128" s="385">
        <f>AMZ!H52</f>
        <v>0</v>
      </c>
      <c r="I128" s="164" t="e">
        <f t="shared" si="4"/>
        <v>#DIV/0!</v>
      </c>
      <c r="J128" s="387">
        <f>IF(Grunddaten_Antrag!E95="ja",AMZ!I52,AMZ!J52)</f>
        <v>0</v>
      </c>
      <c r="K128" s="161" t="e">
        <f t="shared" si="8"/>
        <v>#DIV/0!</v>
      </c>
      <c r="L128" s="388">
        <f>AMZ!K52</f>
        <v>0</v>
      </c>
      <c r="M128" s="162">
        <f t="shared" si="5"/>
        <v>0</v>
      </c>
      <c r="N128" s="162" t="e">
        <f t="shared" si="6"/>
        <v>#DIV/0!</v>
      </c>
      <c r="O128" s="165" t="e">
        <f t="shared" si="7"/>
        <v>#DIV/0!</v>
      </c>
    </row>
    <row r="129" spans="1:16" ht="14.1" hidden="1" customHeight="1" x14ac:dyDescent="0.25">
      <c r="A129" s="149">
        <f>Personal!B88</f>
        <v>0</v>
      </c>
      <c r="B129" s="383" t="e">
        <f>CONCATENATE(Personal!#REF!,"     ",Personal!#REF!)</f>
        <v>#REF!</v>
      </c>
      <c r="C129" s="384" t="e">
        <f>Personal!#REF!</f>
        <v>#REF!</v>
      </c>
      <c r="D129" s="320" t="s">
        <v>57</v>
      </c>
      <c r="E129" s="384" t="e">
        <f>Personal!#REF!</f>
        <v>#REF!</v>
      </c>
      <c r="F129" s="385" t="s">
        <v>83</v>
      </c>
      <c r="G129" s="385" t="e">
        <f>'S8b Ausgleich'!#REF!</f>
        <v>#REF!</v>
      </c>
      <c r="H129" s="385" t="e">
        <f>'S8b Ausgleich'!#REF!</f>
        <v>#REF!</v>
      </c>
      <c r="I129" s="164" t="e">
        <f t="shared" si="4"/>
        <v>#REF!</v>
      </c>
      <c r="J129" s="387">
        <f>IF(Grunddaten_Antrag!E96="ja",AMZ!I53,AMZ!J53)</f>
        <v>0</v>
      </c>
      <c r="K129" s="161" t="e">
        <f t="shared" si="8"/>
        <v>#REF!</v>
      </c>
      <c r="L129" s="388">
        <f>AMZ!K53</f>
        <v>0</v>
      </c>
      <c r="M129" s="162" t="e">
        <f t="shared" si="5"/>
        <v>#REF!</v>
      </c>
      <c r="N129" s="162" t="e">
        <f t="shared" si="6"/>
        <v>#REF!</v>
      </c>
      <c r="O129" s="165" t="e">
        <f t="shared" si="7"/>
        <v>#REF!</v>
      </c>
    </row>
    <row r="130" spans="1:16" ht="14.1" hidden="1" customHeight="1" x14ac:dyDescent="0.25">
      <c r="A130" s="149">
        <f>Personal!B89</f>
        <v>0</v>
      </c>
      <c r="B130" s="383" t="e">
        <f>CONCATENATE(Personal!#REF!,"     ",Personal!#REF!)</f>
        <v>#REF!</v>
      </c>
      <c r="C130" s="384" t="e">
        <f>Personal!#REF!</f>
        <v>#REF!</v>
      </c>
      <c r="D130" s="320" t="s">
        <v>57</v>
      </c>
      <c r="E130" s="384" t="e">
        <f>Personal!#REF!</f>
        <v>#REF!</v>
      </c>
      <c r="F130" s="385" t="s">
        <v>83</v>
      </c>
      <c r="G130" s="385" t="e">
        <f>'S8b Ausgleich'!#REF!</f>
        <v>#REF!</v>
      </c>
      <c r="H130" s="385" t="e">
        <f>'S8b Ausgleich'!#REF!</f>
        <v>#REF!</v>
      </c>
      <c r="I130" s="164" t="e">
        <f t="shared" si="4"/>
        <v>#REF!</v>
      </c>
      <c r="J130" s="387">
        <f>IF(Grunddaten_Antrag!E97="ja",AMZ!I54,AMZ!J54)</f>
        <v>0</v>
      </c>
      <c r="K130" s="161" t="e">
        <f t="shared" si="8"/>
        <v>#REF!</v>
      </c>
      <c r="L130" s="388">
        <f>AMZ!K54</f>
        <v>0</v>
      </c>
      <c r="M130" s="162" t="e">
        <f t="shared" si="5"/>
        <v>#REF!</v>
      </c>
      <c r="N130" s="162" t="e">
        <f t="shared" si="6"/>
        <v>#REF!</v>
      </c>
      <c r="O130" s="165" t="e">
        <f t="shared" si="7"/>
        <v>#REF!</v>
      </c>
    </row>
    <row r="131" spans="1:16" ht="14.1" hidden="1" customHeight="1" x14ac:dyDescent="0.25">
      <c r="A131" s="149" t="str">
        <f>Personal!B90</f>
        <v>Tabelle 3
Eintragung der gesamten Ergänzungskräfte nach § 16 AVBayKiBiG und Personal das zum  Anstellungsschlüssel anrechenbar ist (auch Springer-EK)</v>
      </c>
      <c r="B131" s="383" t="e">
        <f>CONCATENATE(Personal!#REF!,"     ",Personal!#REF!)</f>
        <v>#REF!</v>
      </c>
      <c r="C131" s="384" t="e">
        <f>Personal!#REF!</f>
        <v>#REF!</v>
      </c>
      <c r="D131" s="320" t="s">
        <v>57</v>
      </c>
      <c r="E131" s="384" t="e">
        <f>Personal!#REF!</f>
        <v>#REF!</v>
      </c>
      <c r="F131" s="385" t="s">
        <v>83</v>
      </c>
      <c r="G131" s="385" t="e">
        <f>'S8b Ausgleich'!#REF!</f>
        <v>#REF!</v>
      </c>
      <c r="H131" s="385" t="e">
        <f>'S8b Ausgleich'!#REF!</f>
        <v>#REF!</v>
      </c>
      <c r="I131" s="164" t="e">
        <f t="shared" si="4"/>
        <v>#REF!</v>
      </c>
      <c r="J131" s="387">
        <f>IF(Grunddaten_Antrag!E98="ja",AMZ!I55,AMZ!J55)</f>
        <v>0</v>
      </c>
      <c r="K131" s="161" t="e">
        <f t="shared" si="8"/>
        <v>#REF!</v>
      </c>
      <c r="L131" s="388">
        <f>AMZ!K55</f>
        <v>0</v>
      </c>
      <c r="M131" s="162" t="e">
        <f t="shared" si="5"/>
        <v>#REF!</v>
      </c>
      <c r="N131" s="162" t="e">
        <f t="shared" si="6"/>
        <v>#REF!</v>
      </c>
      <c r="O131" s="165" t="e">
        <f t="shared" si="7"/>
        <v>#REF!</v>
      </c>
    </row>
    <row r="132" spans="1:16" ht="14.1" hidden="1" customHeight="1" x14ac:dyDescent="0.25">
      <c r="A132" s="149" t="str">
        <f>Personal!B91</f>
        <v xml:space="preserve">KiBiG.web-ID </v>
      </c>
      <c r="B132" s="383" t="e">
        <f>CONCATENATE(Personal!#REF!,"     ",Personal!#REF!)</f>
        <v>#REF!</v>
      </c>
      <c r="C132" s="384" t="e">
        <f>Personal!#REF!</f>
        <v>#REF!</v>
      </c>
      <c r="D132" s="320" t="s">
        <v>57</v>
      </c>
      <c r="E132" s="384" t="e">
        <f>Personal!#REF!</f>
        <v>#REF!</v>
      </c>
      <c r="F132" s="385" t="s">
        <v>83</v>
      </c>
      <c r="G132" s="385" t="e">
        <f>'S8b Ausgleich'!#REF!</f>
        <v>#REF!</v>
      </c>
      <c r="H132" s="385" t="e">
        <f>'S8b Ausgleich'!#REF!</f>
        <v>#REF!</v>
      </c>
      <c r="I132" s="164" t="e">
        <f t="shared" si="4"/>
        <v>#REF!</v>
      </c>
      <c r="J132" s="387">
        <f>IF(Grunddaten_Antrag!E99="ja",AMZ!I56,AMZ!J56)</f>
        <v>0</v>
      </c>
      <c r="K132" s="161" t="e">
        <f t="shared" si="8"/>
        <v>#REF!</v>
      </c>
      <c r="L132" s="388">
        <f>AMZ!K56</f>
        <v>0</v>
      </c>
      <c r="M132" s="162" t="e">
        <f t="shared" si="5"/>
        <v>#REF!</v>
      </c>
      <c r="N132" s="162" t="e">
        <f t="shared" si="6"/>
        <v>#REF!</v>
      </c>
      <c r="O132" s="165" t="e">
        <f t="shared" si="7"/>
        <v>#REF!</v>
      </c>
    </row>
    <row r="133" spans="1:16" ht="14.1" hidden="1" customHeight="1" x14ac:dyDescent="0.25">
      <c r="A133" s="149">
        <f>Personal!B92</f>
        <v>0</v>
      </c>
      <c r="B133" s="383" t="e">
        <f>CONCATENATE(Personal!#REF!,"     ",Personal!#REF!)</f>
        <v>#REF!</v>
      </c>
      <c r="C133" s="384" t="e">
        <f>Personal!#REF!</f>
        <v>#REF!</v>
      </c>
      <c r="D133" s="320" t="s">
        <v>57</v>
      </c>
      <c r="E133" s="384" t="e">
        <f>Personal!#REF!</f>
        <v>#REF!</v>
      </c>
      <c r="F133" s="385" t="s">
        <v>83</v>
      </c>
      <c r="G133" s="385" t="e">
        <f>'S8b Ausgleich'!#REF!</f>
        <v>#REF!</v>
      </c>
      <c r="H133" s="385" t="e">
        <f>'S8b Ausgleich'!#REF!</f>
        <v>#REF!</v>
      </c>
      <c r="I133" s="164" t="e">
        <f t="shared" si="4"/>
        <v>#REF!</v>
      </c>
      <c r="J133" s="387">
        <f>IF(Grunddaten_Antrag!E100="ja",AMZ!I57,AMZ!J57)</f>
        <v>0</v>
      </c>
      <c r="K133" s="161" t="e">
        <f t="shared" si="8"/>
        <v>#REF!</v>
      </c>
      <c r="L133" s="388">
        <f>AMZ!K57</f>
        <v>0</v>
      </c>
      <c r="M133" s="162" t="e">
        <f t="shared" si="5"/>
        <v>#REF!</v>
      </c>
      <c r="N133" s="162" t="e">
        <f t="shared" si="6"/>
        <v>#REF!</v>
      </c>
      <c r="O133" s="165" t="e">
        <f t="shared" si="7"/>
        <v>#REF!</v>
      </c>
    </row>
    <row r="134" spans="1:16" ht="14.1" customHeight="1" x14ac:dyDescent="0.25">
      <c r="A134" s="155"/>
      <c r="B134" s="322" t="s">
        <v>58</v>
      </c>
      <c r="C134" s="323"/>
      <c r="D134" s="323"/>
      <c r="E134" s="324"/>
      <c r="F134" s="386"/>
      <c r="G134" s="326">
        <f>IF(Grunddaten_Antrag!E55="nein",0,SUM(G89:G127))</f>
        <v>0</v>
      </c>
      <c r="H134" s="326">
        <f>IF(Grunddaten_Antrag!E55="nein",0,SUM(H89:H127))</f>
        <v>0</v>
      </c>
      <c r="I134" s="156">
        <f>SUM(I89:I127)</f>
        <v>0</v>
      </c>
      <c r="J134" s="326">
        <f>SUM(J89:J127)</f>
        <v>0</v>
      </c>
      <c r="K134" s="156">
        <f>SUM(K89:K127)</f>
        <v>0</v>
      </c>
      <c r="L134" s="389" t="s">
        <v>120</v>
      </c>
      <c r="M134" s="166"/>
      <c r="N134" s="166"/>
      <c r="O134" s="163">
        <f>SUM(O89:O127)</f>
        <v>0</v>
      </c>
    </row>
    <row r="135" spans="1:16" x14ac:dyDescent="0.2">
      <c r="A135" s="113"/>
      <c r="B135" s="25"/>
      <c r="C135" s="23"/>
      <c r="D135" s="23"/>
      <c r="E135" s="24"/>
      <c r="F135" s="24"/>
      <c r="G135" s="24"/>
      <c r="H135" s="24"/>
      <c r="I135" s="22"/>
      <c r="J135" s="19"/>
      <c r="K135" s="19"/>
      <c r="L135" s="19"/>
      <c r="M135" s="19"/>
      <c r="N135" s="19"/>
      <c r="O135" s="19"/>
      <c r="P135" s="19"/>
    </row>
    <row r="136" spans="1:16" s="113" customFormat="1" x14ac:dyDescent="0.2">
      <c r="B136" s="25"/>
      <c r="C136" s="23"/>
      <c r="D136" s="23"/>
      <c r="E136" s="24"/>
      <c r="F136" s="24"/>
      <c r="G136" s="24"/>
      <c r="H136" s="24"/>
      <c r="I136" s="22"/>
      <c r="J136" s="19"/>
      <c r="K136" s="19"/>
      <c r="L136" s="19">
        <f>I56</f>
        <v>0</v>
      </c>
      <c r="M136" s="19"/>
      <c r="N136" s="19"/>
      <c r="O136" s="19"/>
      <c r="P136" s="19"/>
    </row>
    <row r="137" spans="1:16" s="113" customFormat="1" x14ac:dyDescent="0.2">
      <c r="B137" s="25"/>
      <c r="C137" s="23"/>
      <c r="D137" s="23"/>
      <c r="E137" s="24"/>
      <c r="F137" s="24"/>
      <c r="G137" s="24"/>
      <c r="H137" s="24"/>
      <c r="I137" s="22"/>
      <c r="J137" s="19"/>
      <c r="K137" s="115"/>
      <c r="L137" s="19"/>
      <c r="M137" s="19"/>
      <c r="N137" s="19"/>
      <c r="O137" s="19"/>
      <c r="P137" s="19"/>
    </row>
    <row r="138" spans="1:16" s="113" customFormat="1" x14ac:dyDescent="0.2">
      <c r="B138" s="25"/>
      <c r="C138" s="23"/>
      <c r="D138" s="23"/>
      <c r="E138" s="24"/>
      <c r="F138" s="24"/>
      <c r="G138" s="24"/>
      <c r="H138" s="24"/>
      <c r="I138" s="22"/>
      <c r="J138" s="19"/>
      <c r="K138" s="19"/>
      <c r="L138" s="19"/>
      <c r="M138" s="19"/>
      <c r="N138" s="19"/>
      <c r="O138" s="19"/>
      <c r="P138" s="19"/>
    </row>
    <row r="139" spans="1:16" s="113" customFormat="1" ht="28.5" customHeight="1" x14ac:dyDescent="0.2">
      <c r="B139" s="312"/>
      <c r="E139" s="139"/>
      <c r="F139" s="819" t="s">
        <v>345</v>
      </c>
      <c r="G139" s="820"/>
      <c r="H139" s="820"/>
      <c r="I139" s="820"/>
      <c r="J139" s="820"/>
      <c r="K139" s="820"/>
      <c r="M139" s="19"/>
      <c r="N139" s="19"/>
      <c r="O139" s="19"/>
      <c r="P139" s="19"/>
    </row>
    <row r="140" spans="1:16" s="113" customFormat="1" ht="3" hidden="1" customHeight="1" x14ac:dyDescent="0.2">
      <c r="B140" s="25"/>
      <c r="C140" s="23"/>
      <c r="D140" s="23"/>
      <c r="E140" s="147" t="s">
        <v>238</v>
      </c>
      <c r="F140" s="157"/>
      <c r="G140" s="158"/>
      <c r="H140" s="158"/>
      <c r="I140" s="158"/>
      <c r="J140" s="158"/>
      <c r="K140" s="159"/>
      <c r="L140" s="19"/>
      <c r="M140" s="19"/>
      <c r="N140" s="19"/>
      <c r="O140" s="19"/>
      <c r="P140" s="19"/>
    </row>
    <row r="141" spans="1:16" s="113" customFormat="1" ht="30" customHeight="1" x14ac:dyDescent="0.2">
      <c r="B141" s="312"/>
      <c r="F141" s="821" t="s">
        <v>221</v>
      </c>
      <c r="G141" s="821" t="s">
        <v>222</v>
      </c>
      <c r="H141" s="821" t="s">
        <v>223</v>
      </c>
      <c r="I141" s="821" t="s">
        <v>224</v>
      </c>
      <c r="J141" s="821" t="s">
        <v>225</v>
      </c>
      <c r="K141" s="821" t="s">
        <v>226</v>
      </c>
      <c r="L141" s="19"/>
      <c r="M141" s="19"/>
    </row>
    <row r="142" spans="1:16" s="113" customFormat="1" ht="18" customHeight="1" x14ac:dyDescent="0.2">
      <c r="F142" s="821"/>
      <c r="G142" s="821"/>
      <c r="H142" s="821"/>
      <c r="I142" s="821"/>
      <c r="J142" s="821"/>
      <c r="K142" s="821"/>
      <c r="L142" s="19"/>
      <c r="M142" s="19"/>
    </row>
    <row r="143" spans="1:16" s="113" customFormat="1" ht="30.75" customHeight="1" thickBot="1" x14ac:dyDescent="0.3">
      <c r="F143" s="118">
        <f>Tabelle2!O39</f>
        <v>625.74</v>
      </c>
      <c r="G143" s="118">
        <f>Tabelle2!O40</f>
        <v>795.84</v>
      </c>
      <c r="H143" s="118">
        <f>Tabelle2!O41</f>
        <v>1193.49</v>
      </c>
      <c r="I143" s="118">
        <f>Tabelle2!O42</f>
        <v>3052.08</v>
      </c>
      <c r="J143" s="118">
        <f>Tabelle2!O43</f>
        <v>4707.8999999999996</v>
      </c>
      <c r="K143" s="118">
        <f>Tabelle2!O44</f>
        <v>5337.93</v>
      </c>
      <c r="L143" s="19"/>
    </row>
    <row r="144" spans="1:16" s="113" customFormat="1" ht="27" customHeight="1" x14ac:dyDescent="0.2">
      <c r="A144" s="838" t="s">
        <v>426</v>
      </c>
      <c r="B144" s="839"/>
      <c r="C144" s="839"/>
      <c r="D144" s="839"/>
      <c r="E144" s="839"/>
      <c r="F144" s="840"/>
      <c r="G144" s="840"/>
      <c r="H144" s="840"/>
      <c r="I144" s="840"/>
      <c r="J144" s="840"/>
      <c r="K144" s="840"/>
      <c r="L144" s="841"/>
      <c r="M144" s="818" t="s">
        <v>248</v>
      </c>
      <c r="N144" s="818"/>
      <c r="O144" s="19"/>
      <c r="P144" s="19"/>
    </row>
    <row r="145" spans="1:17" ht="111" customHeight="1" x14ac:dyDescent="0.2">
      <c r="A145" s="68" t="s">
        <v>218</v>
      </c>
      <c r="B145" s="381" t="s">
        <v>334</v>
      </c>
      <c r="C145" s="381" t="s">
        <v>425</v>
      </c>
      <c r="D145" s="381" t="s">
        <v>363</v>
      </c>
      <c r="E145" s="381" t="s">
        <v>346</v>
      </c>
      <c r="F145" s="381" t="s">
        <v>104</v>
      </c>
      <c r="G145" s="381" t="s">
        <v>252</v>
      </c>
      <c r="H145" s="145" t="s">
        <v>253</v>
      </c>
      <c r="I145" s="381" t="s">
        <v>427</v>
      </c>
      <c r="J145" s="145" t="s">
        <v>422</v>
      </c>
      <c r="K145" s="145" t="s">
        <v>262</v>
      </c>
      <c r="L145" s="146" t="s">
        <v>256</v>
      </c>
      <c r="M145" s="381" t="s">
        <v>254</v>
      </c>
      <c r="N145" s="381" t="s">
        <v>255</v>
      </c>
      <c r="O145" s="19"/>
      <c r="P145" s="19"/>
      <c r="Q145" s="19"/>
    </row>
    <row r="146" spans="1:17" ht="14.25" x14ac:dyDescent="0.2">
      <c r="A146" s="149">
        <f>'S8b Ausgleich'!B14</f>
        <v>0</v>
      </c>
      <c r="B146" s="390">
        <f>'S8b Ausgleich'!C14</f>
        <v>0</v>
      </c>
      <c r="C146" s="391">
        <f>'S8b Ausgleich'!G14</f>
        <v>0</v>
      </c>
      <c r="D146" s="321">
        <f>Grunddaten_Antrag!$E$50</f>
        <v>0</v>
      </c>
      <c r="E146" s="392" t="str">
        <f>'S8b Ausgleich'!F14</f>
        <v xml:space="preserve"> </v>
      </c>
      <c r="F146" s="393">
        <f>'S8b Ausgleich'!E14</f>
        <v>0</v>
      </c>
      <c r="G146" s="385">
        <f>'S8b Ausgleich'!H14</f>
        <v>0</v>
      </c>
      <c r="H146" s="150">
        <f t="shared" ref="H146:H185" si="9">IF(F146=1,$F$143/12*E146/D146*C146,IF(F146=2,$G$143/12*E146/D146*C146,IF(F146=3,$H$143/12*E146/D146*C146,IF(F146=4,$I$143/12*E146/D146*C146,IF(F146=5,$J$143/12*E146/D146*C146,IF(F146=6,$K$143/12*E146/D146*C146,0))))))</f>
        <v>0</v>
      </c>
      <c r="I146" s="327">
        <f>IF(Grunddaten_Antrag!E56="ja",'S8b Ausgleich'!I14,'S8b Ausgleich'!J14)</f>
        <v>0</v>
      </c>
      <c r="J146" s="151">
        <f t="shared" ref="J146:J185" si="10">IFERROR(H146*K146,0)</f>
        <v>0</v>
      </c>
      <c r="K146" s="152">
        <f>'S8b Ausgleich'!K14</f>
        <v>0</v>
      </c>
      <c r="L146" s="153">
        <f>IF(M146&lt;N146,M146,N146)</f>
        <v>0</v>
      </c>
      <c r="M146" s="394">
        <f t="shared" ref="M146:M185" si="11">G146+I146</f>
        <v>0</v>
      </c>
      <c r="N146" s="394">
        <f t="shared" ref="N146:N185" si="12">H146+J146</f>
        <v>0</v>
      </c>
      <c r="O146" s="19"/>
      <c r="P146" s="19"/>
      <c r="Q146" s="19"/>
    </row>
    <row r="147" spans="1:17" ht="14.25" x14ac:dyDescent="0.2">
      <c r="A147" s="149">
        <f>'S8b Ausgleich'!B15</f>
        <v>0</v>
      </c>
      <c r="B147" s="390">
        <f>'S8b Ausgleich'!C15</f>
        <v>0</v>
      </c>
      <c r="C147" s="391">
        <f>'S8b Ausgleich'!G15</f>
        <v>0</v>
      </c>
      <c r="D147" s="321">
        <f>Grunddaten_Antrag!$E$50</f>
        <v>0</v>
      </c>
      <c r="E147" s="392" t="str">
        <f>'S8b Ausgleich'!F15</f>
        <v xml:space="preserve"> </v>
      </c>
      <c r="F147" s="393">
        <f>'S8b Ausgleich'!E15</f>
        <v>0</v>
      </c>
      <c r="G147" s="385">
        <f>'S8b Ausgleich'!H15</f>
        <v>0</v>
      </c>
      <c r="H147" s="150">
        <f t="shared" si="9"/>
        <v>0</v>
      </c>
      <c r="I147" s="327">
        <f>IF(Grunddaten_Antrag!E57="ja",'S8b Ausgleich'!I15,'S8b Ausgleich'!J15)</f>
        <v>0</v>
      </c>
      <c r="J147" s="151">
        <f t="shared" si="10"/>
        <v>0</v>
      </c>
      <c r="K147" s="152">
        <f>'S8b Ausgleich'!K15</f>
        <v>0</v>
      </c>
      <c r="L147" s="154">
        <f t="shared" ref="L147:L185" si="13">IF(M147&lt;N147,M147,N147)</f>
        <v>0</v>
      </c>
      <c r="M147" s="394">
        <f t="shared" si="11"/>
        <v>0</v>
      </c>
      <c r="N147" s="394">
        <f t="shared" si="12"/>
        <v>0</v>
      </c>
      <c r="Q147" s="19"/>
    </row>
    <row r="148" spans="1:17" ht="14.25" x14ac:dyDescent="0.2">
      <c r="A148" s="149">
        <f>'S8b Ausgleich'!B16</f>
        <v>0</v>
      </c>
      <c r="B148" s="390">
        <f>'S8b Ausgleich'!C16</f>
        <v>0</v>
      </c>
      <c r="C148" s="391">
        <f>'S8b Ausgleich'!G16</f>
        <v>0</v>
      </c>
      <c r="D148" s="321">
        <f>Grunddaten_Antrag!$E$50</f>
        <v>0</v>
      </c>
      <c r="E148" s="392" t="str">
        <f>'S8b Ausgleich'!F16</f>
        <v xml:space="preserve"> </v>
      </c>
      <c r="F148" s="393">
        <f>'S8b Ausgleich'!E16</f>
        <v>0</v>
      </c>
      <c r="G148" s="385">
        <f>'S8b Ausgleich'!H16</f>
        <v>0</v>
      </c>
      <c r="H148" s="150">
        <f t="shared" si="9"/>
        <v>0</v>
      </c>
      <c r="I148" s="327">
        <f>IF(Grunddaten_Antrag!E58="ja",'S8b Ausgleich'!I16,'S8b Ausgleich'!J16)</f>
        <v>0</v>
      </c>
      <c r="J148" s="151">
        <f t="shared" si="10"/>
        <v>0</v>
      </c>
      <c r="K148" s="152">
        <f>'S8b Ausgleich'!K16</f>
        <v>0</v>
      </c>
      <c r="L148" s="154">
        <f t="shared" si="13"/>
        <v>0</v>
      </c>
      <c r="M148" s="394">
        <f t="shared" si="11"/>
        <v>0</v>
      </c>
      <c r="N148" s="394">
        <f t="shared" si="12"/>
        <v>0</v>
      </c>
      <c r="O148" s="19"/>
      <c r="P148" s="19"/>
      <c r="Q148" s="19"/>
    </row>
    <row r="149" spans="1:17" ht="14.25" x14ac:dyDescent="0.2">
      <c r="A149" s="149">
        <f>'S8b Ausgleich'!B17</f>
        <v>0</v>
      </c>
      <c r="B149" s="390">
        <f>'S8b Ausgleich'!C17</f>
        <v>0</v>
      </c>
      <c r="C149" s="391">
        <f>'S8b Ausgleich'!G17</f>
        <v>0</v>
      </c>
      <c r="D149" s="321">
        <f>Grunddaten_Antrag!$E$50</f>
        <v>0</v>
      </c>
      <c r="E149" s="392" t="str">
        <f>'S8b Ausgleich'!F17</f>
        <v xml:space="preserve"> </v>
      </c>
      <c r="F149" s="393">
        <f>'S8b Ausgleich'!E17</f>
        <v>0</v>
      </c>
      <c r="G149" s="385">
        <f>'S8b Ausgleich'!H17</f>
        <v>0</v>
      </c>
      <c r="H149" s="150">
        <f t="shared" si="9"/>
        <v>0</v>
      </c>
      <c r="I149" s="327">
        <f>IF(Grunddaten_Antrag!E59="ja",'S8b Ausgleich'!I17,'S8b Ausgleich'!J17)</f>
        <v>0</v>
      </c>
      <c r="J149" s="151">
        <f t="shared" si="10"/>
        <v>0</v>
      </c>
      <c r="K149" s="152">
        <f>'S8b Ausgleich'!K17</f>
        <v>0</v>
      </c>
      <c r="L149" s="154">
        <f t="shared" si="13"/>
        <v>0</v>
      </c>
      <c r="M149" s="394">
        <f t="shared" si="11"/>
        <v>0</v>
      </c>
      <c r="N149" s="394">
        <f t="shared" si="12"/>
        <v>0</v>
      </c>
      <c r="O149" s="19"/>
      <c r="P149" s="19"/>
      <c r="Q149" s="19"/>
    </row>
    <row r="150" spans="1:17" s="55" customFormat="1" ht="14.25" x14ac:dyDescent="0.2">
      <c r="A150" s="149">
        <f>'S8b Ausgleich'!B18</f>
        <v>0</v>
      </c>
      <c r="B150" s="390">
        <f>'S8b Ausgleich'!C18</f>
        <v>0</v>
      </c>
      <c r="C150" s="391">
        <f>'S8b Ausgleich'!G18</f>
        <v>0</v>
      </c>
      <c r="D150" s="321">
        <f>Grunddaten_Antrag!$E$50</f>
        <v>0</v>
      </c>
      <c r="E150" s="392" t="str">
        <f>'S8b Ausgleich'!F18</f>
        <v xml:space="preserve"> </v>
      </c>
      <c r="F150" s="393">
        <f>'S8b Ausgleich'!E18</f>
        <v>0</v>
      </c>
      <c r="G150" s="385">
        <f>'S8b Ausgleich'!H18</f>
        <v>0</v>
      </c>
      <c r="H150" s="150">
        <f t="shared" si="9"/>
        <v>0</v>
      </c>
      <c r="I150" s="327">
        <f>IF(Grunddaten_Antrag!E60="ja",'S8b Ausgleich'!I18,'S8b Ausgleich'!J18)</f>
        <v>0</v>
      </c>
      <c r="J150" s="151">
        <f t="shared" si="10"/>
        <v>0</v>
      </c>
      <c r="K150" s="152">
        <f>'S8b Ausgleich'!K18</f>
        <v>0</v>
      </c>
      <c r="L150" s="154">
        <f t="shared" si="13"/>
        <v>0</v>
      </c>
      <c r="M150" s="394">
        <f t="shared" si="11"/>
        <v>0</v>
      </c>
      <c r="N150" s="394">
        <f t="shared" si="12"/>
        <v>0</v>
      </c>
      <c r="O150" s="19"/>
      <c r="P150" s="19"/>
      <c r="Q150" s="19"/>
    </row>
    <row r="151" spans="1:17" ht="14.25" x14ac:dyDescent="0.2">
      <c r="A151" s="149">
        <f>'S8b Ausgleich'!B19</f>
        <v>0</v>
      </c>
      <c r="B151" s="390">
        <f>'S8b Ausgleich'!C19</f>
        <v>0</v>
      </c>
      <c r="C151" s="391">
        <f>'S8b Ausgleich'!G19</f>
        <v>0</v>
      </c>
      <c r="D151" s="321">
        <f>Grunddaten_Antrag!$E$50</f>
        <v>0</v>
      </c>
      <c r="E151" s="392" t="str">
        <f>'S8b Ausgleich'!F19</f>
        <v xml:space="preserve"> </v>
      </c>
      <c r="F151" s="393">
        <f>'S8b Ausgleich'!E19</f>
        <v>0</v>
      </c>
      <c r="G151" s="385">
        <f>'S8b Ausgleich'!H19</f>
        <v>0</v>
      </c>
      <c r="H151" s="150">
        <f t="shared" si="9"/>
        <v>0</v>
      </c>
      <c r="I151" s="327">
        <f>IF(Grunddaten_Antrag!E61="ja",'S8b Ausgleich'!I19,'S8b Ausgleich'!J19)</f>
        <v>0</v>
      </c>
      <c r="J151" s="151">
        <f t="shared" si="10"/>
        <v>0</v>
      </c>
      <c r="K151" s="152">
        <f>'S8b Ausgleich'!K19</f>
        <v>0</v>
      </c>
      <c r="L151" s="154">
        <f t="shared" si="13"/>
        <v>0</v>
      </c>
      <c r="M151" s="394">
        <f t="shared" si="11"/>
        <v>0</v>
      </c>
      <c r="N151" s="394">
        <f t="shared" si="12"/>
        <v>0</v>
      </c>
      <c r="O151" s="19"/>
      <c r="P151" s="19"/>
      <c r="Q151" s="19"/>
    </row>
    <row r="152" spans="1:17" ht="14.25" x14ac:dyDescent="0.2">
      <c r="A152" s="149">
        <f>'S8b Ausgleich'!B20</f>
        <v>0</v>
      </c>
      <c r="B152" s="390">
        <f>'S8b Ausgleich'!C20</f>
        <v>0</v>
      </c>
      <c r="C152" s="391">
        <f>'S8b Ausgleich'!G20</f>
        <v>0</v>
      </c>
      <c r="D152" s="321">
        <f>Grunddaten_Antrag!$E$50</f>
        <v>0</v>
      </c>
      <c r="E152" s="392" t="str">
        <f>'S8b Ausgleich'!F20</f>
        <v xml:space="preserve"> </v>
      </c>
      <c r="F152" s="393">
        <f>'S8b Ausgleich'!E20</f>
        <v>0</v>
      </c>
      <c r="G152" s="385">
        <f>'S8b Ausgleich'!H20</f>
        <v>0</v>
      </c>
      <c r="H152" s="150">
        <f t="shared" si="9"/>
        <v>0</v>
      </c>
      <c r="I152" s="327">
        <f>IF(Grunddaten_Antrag!E62="ja",'S8b Ausgleich'!I20,'S8b Ausgleich'!J20)</f>
        <v>0</v>
      </c>
      <c r="J152" s="151">
        <f t="shared" si="10"/>
        <v>0</v>
      </c>
      <c r="K152" s="152">
        <f>'S8b Ausgleich'!K20</f>
        <v>0</v>
      </c>
      <c r="L152" s="154">
        <f t="shared" si="13"/>
        <v>0</v>
      </c>
      <c r="M152" s="394">
        <f t="shared" si="11"/>
        <v>0</v>
      </c>
      <c r="N152" s="394">
        <f t="shared" si="12"/>
        <v>0</v>
      </c>
      <c r="O152" s="19"/>
      <c r="P152" s="19"/>
      <c r="Q152" s="19"/>
    </row>
    <row r="153" spans="1:17" s="39" customFormat="1" ht="14.25" x14ac:dyDescent="0.2">
      <c r="A153" s="149">
        <f>'S8b Ausgleich'!B21</f>
        <v>0</v>
      </c>
      <c r="B153" s="390">
        <f>'S8b Ausgleich'!C21</f>
        <v>0</v>
      </c>
      <c r="C153" s="391">
        <f>'S8b Ausgleich'!G21</f>
        <v>0</v>
      </c>
      <c r="D153" s="321">
        <f>Grunddaten_Antrag!$E$50</f>
        <v>0</v>
      </c>
      <c r="E153" s="392" t="str">
        <f>'S8b Ausgleich'!F21</f>
        <v xml:space="preserve"> </v>
      </c>
      <c r="F153" s="393">
        <f>'S8b Ausgleich'!E21</f>
        <v>0</v>
      </c>
      <c r="G153" s="385">
        <f>'S8b Ausgleich'!H21</f>
        <v>0</v>
      </c>
      <c r="H153" s="150">
        <f t="shared" si="9"/>
        <v>0</v>
      </c>
      <c r="I153" s="327">
        <f>IF(Grunddaten_Antrag!E63="ja",'S8b Ausgleich'!I21,'S8b Ausgleich'!J21)</f>
        <v>0</v>
      </c>
      <c r="J153" s="151">
        <f t="shared" si="10"/>
        <v>0</v>
      </c>
      <c r="K153" s="152">
        <f>'S8b Ausgleich'!K21</f>
        <v>0</v>
      </c>
      <c r="L153" s="154">
        <f t="shared" si="13"/>
        <v>0</v>
      </c>
      <c r="M153" s="394">
        <f t="shared" si="11"/>
        <v>0</v>
      </c>
      <c r="N153" s="394">
        <f t="shared" si="12"/>
        <v>0</v>
      </c>
      <c r="O153" s="19"/>
      <c r="Q153" s="19"/>
    </row>
    <row r="154" spans="1:17" s="39" customFormat="1" ht="14.25" x14ac:dyDescent="0.2">
      <c r="A154" s="149">
        <f>'S8b Ausgleich'!B22</f>
        <v>0</v>
      </c>
      <c r="B154" s="390">
        <f>'S8b Ausgleich'!C22</f>
        <v>0</v>
      </c>
      <c r="C154" s="391">
        <f>'S8b Ausgleich'!G22</f>
        <v>0</v>
      </c>
      <c r="D154" s="321">
        <f>Grunddaten_Antrag!$E$50</f>
        <v>0</v>
      </c>
      <c r="E154" s="392" t="str">
        <f>'S8b Ausgleich'!F22</f>
        <v xml:space="preserve"> </v>
      </c>
      <c r="F154" s="393">
        <f>'S8b Ausgleich'!E22</f>
        <v>0</v>
      </c>
      <c r="G154" s="385">
        <f>'S8b Ausgleich'!H22</f>
        <v>0</v>
      </c>
      <c r="H154" s="150">
        <f t="shared" si="9"/>
        <v>0</v>
      </c>
      <c r="I154" s="327">
        <f>IF(Grunddaten_Antrag!E64="ja",'S8b Ausgleich'!I22,'S8b Ausgleich'!J22)</f>
        <v>0</v>
      </c>
      <c r="J154" s="151">
        <f t="shared" si="10"/>
        <v>0</v>
      </c>
      <c r="K154" s="152">
        <f>'S8b Ausgleich'!K22</f>
        <v>0</v>
      </c>
      <c r="L154" s="154">
        <f t="shared" si="13"/>
        <v>0</v>
      </c>
      <c r="M154" s="394">
        <f t="shared" si="11"/>
        <v>0</v>
      </c>
      <c r="N154" s="394">
        <f t="shared" si="12"/>
        <v>0</v>
      </c>
      <c r="O154" s="19"/>
    </row>
    <row r="155" spans="1:17" s="39" customFormat="1" ht="14.25" x14ac:dyDescent="0.2">
      <c r="A155" s="149">
        <f>'S8b Ausgleich'!B23</f>
        <v>0</v>
      </c>
      <c r="B155" s="390">
        <f>'S8b Ausgleich'!C23</f>
        <v>0</v>
      </c>
      <c r="C155" s="391">
        <f>'S8b Ausgleich'!G23</f>
        <v>0</v>
      </c>
      <c r="D155" s="321">
        <f>Grunddaten_Antrag!$E$50</f>
        <v>0</v>
      </c>
      <c r="E155" s="392" t="str">
        <f>'S8b Ausgleich'!F23</f>
        <v xml:space="preserve"> </v>
      </c>
      <c r="F155" s="393">
        <f>'S8b Ausgleich'!E23</f>
        <v>0</v>
      </c>
      <c r="G155" s="385">
        <f>'S8b Ausgleich'!H23</f>
        <v>0</v>
      </c>
      <c r="H155" s="150">
        <f t="shared" si="9"/>
        <v>0</v>
      </c>
      <c r="I155" s="327">
        <f>IF(Grunddaten_Antrag!E65="ja",'S8b Ausgleich'!I23,'S8b Ausgleich'!J23)</f>
        <v>0</v>
      </c>
      <c r="J155" s="151">
        <f t="shared" si="10"/>
        <v>0</v>
      </c>
      <c r="K155" s="152">
        <f>'S8b Ausgleich'!K23</f>
        <v>0</v>
      </c>
      <c r="L155" s="154">
        <f t="shared" si="13"/>
        <v>0</v>
      </c>
      <c r="M155" s="394">
        <f t="shared" si="11"/>
        <v>0</v>
      </c>
      <c r="N155" s="394">
        <f t="shared" si="12"/>
        <v>0</v>
      </c>
      <c r="O155" s="19"/>
    </row>
    <row r="156" spans="1:17" s="39" customFormat="1" ht="14.25" x14ac:dyDescent="0.2">
      <c r="A156" s="149">
        <f>'S8b Ausgleich'!B24</f>
        <v>0</v>
      </c>
      <c r="B156" s="390">
        <f>'S8b Ausgleich'!C24</f>
        <v>0</v>
      </c>
      <c r="C156" s="391">
        <f>'S8b Ausgleich'!G24</f>
        <v>0</v>
      </c>
      <c r="D156" s="321">
        <f>Grunddaten_Antrag!$E$50</f>
        <v>0</v>
      </c>
      <c r="E156" s="392" t="str">
        <f>'S8b Ausgleich'!F24</f>
        <v xml:space="preserve"> </v>
      </c>
      <c r="F156" s="393">
        <f>'S8b Ausgleich'!E24</f>
        <v>0</v>
      </c>
      <c r="G156" s="385">
        <f>'S8b Ausgleich'!H24</f>
        <v>0</v>
      </c>
      <c r="H156" s="150">
        <f t="shared" si="9"/>
        <v>0</v>
      </c>
      <c r="I156" s="327">
        <f>IF(Grunddaten_Antrag!E66="ja",'S8b Ausgleich'!I24,'S8b Ausgleich'!J24)</f>
        <v>0</v>
      </c>
      <c r="J156" s="151">
        <f t="shared" si="10"/>
        <v>0</v>
      </c>
      <c r="K156" s="152">
        <f>'S8b Ausgleich'!K24</f>
        <v>0</v>
      </c>
      <c r="L156" s="154">
        <f t="shared" si="13"/>
        <v>0</v>
      </c>
      <c r="M156" s="394">
        <f t="shared" si="11"/>
        <v>0</v>
      </c>
      <c r="N156" s="394">
        <f t="shared" si="12"/>
        <v>0</v>
      </c>
      <c r="O156" s="1"/>
      <c r="P156" s="1"/>
    </row>
    <row r="157" spans="1:17" ht="14.25" x14ac:dyDescent="0.2">
      <c r="A157" s="149">
        <f>'S8b Ausgleich'!B25</f>
        <v>0</v>
      </c>
      <c r="B157" s="390">
        <f>'S8b Ausgleich'!C25</f>
        <v>0</v>
      </c>
      <c r="C157" s="391">
        <f>'S8b Ausgleich'!G25</f>
        <v>0</v>
      </c>
      <c r="D157" s="321">
        <f>Grunddaten_Antrag!$E$50</f>
        <v>0</v>
      </c>
      <c r="E157" s="392" t="str">
        <f>'S8b Ausgleich'!F25</f>
        <v xml:space="preserve"> </v>
      </c>
      <c r="F157" s="393">
        <f>'S8b Ausgleich'!E25</f>
        <v>0</v>
      </c>
      <c r="G157" s="385">
        <f>'S8b Ausgleich'!H25</f>
        <v>0</v>
      </c>
      <c r="H157" s="150">
        <f t="shared" si="9"/>
        <v>0</v>
      </c>
      <c r="I157" s="327">
        <f>IF(Grunddaten_Antrag!E67="ja",'S8b Ausgleich'!I25,'S8b Ausgleich'!J25)</f>
        <v>0</v>
      </c>
      <c r="J157" s="151">
        <f t="shared" si="10"/>
        <v>0</v>
      </c>
      <c r="K157" s="152">
        <f>'S8b Ausgleich'!K25</f>
        <v>0</v>
      </c>
      <c r="L157" s="154">
        <f t="shared" si="13"/>
        <v>0</v>
      </c>
      <c r="M157" s="394">
        <f t="shared" si="11"/>
        <v>0</v>
      </c>
      <c r="N157" s="394">
        <f t="shared" si="12"/>
        <v>0</v>
      </c>
    </row>
    <row r="158" spans="1:17" ht="14.25" x14ac:dyDescent="0.2">
      <c r="A158" s="149">
        <f>'S8b Ausgleich'!B26</f>
        <v>0</v>
      </c>
      <c r="B158" s="390">
        <f>'S8b Ausgleich'!C26</f>
        <v>0</v>
      </c>
      <c r="C158" s="391">
        <f>'S8b Ausgleich'!G26</f>
        <v>0</v>
      </c>
      <c r="D158" s="321">
        <f>Grunddaten_Antrag!$E$50</f>
        <v>0</v>
      </c>
      <c r="E158" s="392" t="str">
        <f>'S8b Ausgleich'!F26</f>
        <v xml:space="preserve"> </v>
      </c>
      <c r="F158" s="393">
        <f>'S8b Ausgleich'!E26</f>
        <v>0</v>
      </c>
      <c r="G158" s="385">
        <f>'S8b Ausgleich'!H26</f>
        <v>0</v>
      </c>
      <c r="H158" s="150">
        <f t="shared" si="9"/>
        <v>0</v>
      </c>
      <c r="I158" s="327">
        <f>IF(Grunddaten_Antrag!E68="ja",'S8b Ausgleich'!I26,'S8b Ausgleich'!J26)</f>
        <v>0</v>
      </c>
      <c r="J158" s="151">
        <f t="shared" si="10"/>
        <v>0</v>
      </c>
      <c r="K158" s="152">
        <f>'S8b Ausgleich'!K26</f>
        <v>0</v>
      </c>
      <c r="L158" s="154">
        <f t="shared" si="13"/>
        <v>0</v>
      </c>
      <c r="M158" s="394">
        <f t="shared" si="11"/>
        <v>0</v>
      </c>
      <c r="N158" s="394">
        <f t="shared" si="12"/>
        <v>0</v>
      </c>
    </row>
    <row r="159" spans="1:17" ht="14.25" x14ac:dyDescent="0.2">
      <c r="A159" s="149">
        <f>'S8b Ausgleich'!B27</f>
        <v>0</v>
      </c>
      <c r="B159" s="390">
        <f>'S8b Ausgleich'!C27</f>
        <v>0</v>
      </c>
      <c r="C159" s="391">
        <f>'S8b Ausgleich'!G27</f>
        <v>0</v>
      </c>
      <c r="D159" s="321">
        <f>Grunddaten_Antrag!$E$50</f>
        <v>0</v>
      </c>
      <c r="E159" s="392" t="str">
        <f>'S8b Ausgleich'!F27</f>
        <v xml:space="preserve"> </v>
      </c>
      <c r="F159" s="393">
        <f>'S8b Ausgleich'!E27</f>
        <v>0</v>
      </c>
      <c r="G159" s="385">
        <f>'S8b Ausgleich'!H27</f>
        <v>0</v>
      </c>
      <c r="H159" s="150">
        <f t="shared" si="9"/>
        <v>0</v>
      </c>
      <c r="I159" s="327">
        <f>IF(Grunddaten_Antrag!E69="ja",'S8b Ausgleich'!I27,'S8b Ausgleich'!J27)</f>
        <v>0</v>
      </c>
      <c r="J159" s="151">
        <f t="shared" si="10"/>
        <v>0</v>
      </c>
      <c r="K159" s="152">
        <f>'S8b Ausgleich'!K27</f>
        <v>0</v>
      </c>
      <c r="L159" s="154">
        <f t="shared" si="13"/>
        <v>0</v>
      </c>
      <c r="M159" s="394">
        <f t="shared" si="11"/>
        <v>0</v>
      </c>
      <c r="N159" s="394">
        <f t="shared" si="12"/>
        <v>0</v>
      </c>
    </row>
    <row r="160" spans="1:17" ht="14.25" x14ac:dyDescent="0.2">
      <c r="A160" s="149">
        <f>'S8b Ausgleich'!B28</f>
        <v>0</v>
      </c>
      <c r="B160" s="390">
        <f>'S8b Ausgleich'!C28</f>
        <v>0</v>
      </c>
      <c r="C160" s="391">
        <f>'S8b Ausgleich'!G28</f>
        <v>0</v>
      </c>
      <c r="D160" s="321">
        <f>Grunddaten_Antrag!$E$50</f>
        <v>0</v>
      </c>
      <c r="E160" s="392" t="str">
        <f>'S8b Ausgleich'!F28</f>
        <v xml:space="preserve"> </v>
      </c>
      <c r="F160" s="393">
        <f>'S8b Ausgleich'!E28</f>
        <v>0</v>
      </c>
      <c r="G160" s="385">
        <f>'S8b Ausgleich'!H28</f>
        <v>0</v>
      </c>
      <c r="H160" s="150">
        <f t="shared" si="9"/>
        <v>0</v>
      </c>
      <c r="I160" s="327">
        <f>IF(Grunddaten_Antrag!E70="ja",'S8b Ausgleich'!I28,'S8b Ausgleich'!J28)</f>
        <v>0</v>
      </c>
      <c r="J160" s="151">
        <f t="shared" si="10"/>
        <v>0</v>
      </c>
      <c r="K160" s="152">
        <f>'S8b Ausgleich'!K28</f>
        <v>0</v>
      </c>
      <c r="L160" s="154">
        <f t="shared" si="13"/>
        <v>0</v>
      </c>
      <c r="M160" s="394">
        <f t="shared" si="11"/>
        <v>0</v>
      </c>
      <c r="N160" s="394">
        <f t="shared" si="12"/>
        <v>0</v>
      </c>
    </row>
    <row r="161" spans="1:14" ht="14.25" x14ac:dyDescent="0.2">
      <c r="A161" s="149">
        <f>'S8b Ausgleich'!B29</f>
        <v>0</v>
      </c>
      <c r="B161" s="390">
        <f>'S8b Ausgleich'!C29</f>
        <v>0</v>
      </c>
      <c r="C161" s="391">
        <f>'S8b Ausgleich'!G29</f>
        <v>0</v>
      </c>
      <c r="D161" s="321">
        <f>Grunddaten_Antrag!$E$50</f>
        <v>0</v>
      </c>
      <c r="E161" s="392" t="str">
        <f>'S8b Ausgleich'!F29</f>
        <v xml:space="preserve"> </v>
      </c>
      <c r="F161" s="393">
        <f>'S8b Ausgleich'!E29</f>
        <v>0</v>
      </c>
      <c r="G161" s="385">
        <f>'S8b Ausgleich'!H29</f>
        <v>0</v>
      </c>
      <c r="H161" s="150">
        <f t="shared" si="9"/>
        <v>0</v>
      </c>
      <c r="I161" s="327">
        <f>IF(Grunddaten_Antrag!E71="ja",'S8b Ausgleich'!I29,'S8b Ausgleich'!J29)</f>
        <v>0</v>
      </c>
      <c r="J161" s="151">
        <f t="shared" si="10"/>
        <v>0</v>
      </c>
      <c r="K161" s="152">
        <f>'S8b Ausgleich'!K29</f>
        <v>0</v>
      </c>
      <c r="L161" s="154">
        <f t="shared" si="13"/>
        <v>0</v>
      </c>
      <c r="M161" s="394">
        <f t="shared" si="11"/>
        <v>0</v>
      </c>
      <c r="N161" s="394">
        <f t="shared" si="12"/>
        <v>0</v>
      </c>
    </row>
    <row r="162" spans="1:14" ht="14.25" x14ac:dyDescent="0.2">
      <c r="A162" s="149">
        <f>'S8b Ausgleich'!B30</f>
        <v>0</v>
      </c>
      <c r="B162" s="390">
        <f>'S8b Ausgleich'!C30</f>
        <v>0</v>
      </c>
      <c r="C162" s="391">
        <f>'S8b Ausgleich'!G30</f>
        <v>0</v>
      </c>
      <c r="D162" s="321">
        <f>Grunddaten_Antrag!$E$50</f>
        <v>0</v>
      </c>
      <c r="E162" s="392" t="str">
        <f>'S8b Ausgleich'!F30</f>
        <v xml:space="preserve"> </v>
      </c>
      <c r="F162" s="393">
        <f>'S8b Ausgleich'!E30</f>
        <v>0</v>
      </c>
      <c r="G162" s="385">
        <f>'S8b Ausgleich'!H30</f>
        <v>0</v>
      </c>
      <c r="H162" s="150">
        <f t="shared" si="9"/>
        <v>0</v>
      </c>
      <c r="I162" s="327">
        <f>IF(Grunddaten_Antrag!E72="ja",'S8b Ausgleich'!I30,'S8b Ausgleich'!J30)</f>
        <v>0</v>
      </c>
      <c r="J162" s="151">
        <f t="shared" si="10"/>
        <v>0</v>
      </c>
      <c r="K162" s="152">
        <f>'S8b Ausgleich'!K30</f>
        <v>0</v>
      </c>
      <c r="L162" s="154">
        <f t="shared" si="13"/>
        <v>0</v>
      </c>
      <c r="M162" s="394">
        <f t="shared" si="11"/>
        <v>0</v>
      </c>
      <c r="N162" s="394">
        <f t="shared" si="12"/>
        <v>0</v>
      </c>
    </row>
    <row r="163" spans="1:14" ht="14.25" x14ac:dyDescent="0.2">
      <c r="A163" s="149">
        <f>'S8b Ausgleich'!B31</f>
        <v>0</v>
      </c>
      <c r="B163" s="390">
        <f>'S8b Ausgleich'!C31</f>
        <v>0</v>
      </c>
      <c r="C163" s="391">
        <f>'S8b Ausgleich'!G31</f>
        <v>0</v>
      </c>
      <c r="D163" s="321">
        <f>Grunddaten_Antrag!$E$50</f>
        <v>0</v>
      </c>
      <c r="E163" s="392" t="str">
        <f>'S8b Ausgleich'!F31</f>
        <v xml:space="preserve"> </v>
      </c>
      <c r="F163" s="393">
        <f>'S8b Ausgleich'!E31</f>
        <v>0</v>
      </c>
      <c r="G163" s="385">
        <f>'S8b Ausgleich'!H31</f>
        <v>0</v>
      </c>
      <c r="H163" s="150">
        <f t="shared" si="9"/>
        <v>0</v>
      </c>
      <c r="I163" s="327">
        <f>IF(Grunddaten_Antrag!E73="ja",'S8b Ausgleich'!I31,'S8b Ausgleich'!J31)</f>
        <v>0</v>
      </c>
      <c r="J163" s="151">
        <f t="shared" si="10"/>
        <v>0</v>
      </c>
      <c r="K163" s="152">
        <f>'S8b Ausgleich'!K31</f>
        <v>0</v>
      </c>
      <c r="L163" s="154">
        <f t="shared" si="13"/>
        <v>0</v>
      </c>
      <c r="M163" s="394">
        <f t="shared" si="11"/>
        <v>0</v>
      </c>
      <c r="N163" s="394">
        <f t="shared" si="12"/>
        <v>0</v>
      </c>
    </row>
    <row r="164" spans="1:14" ht="14.25" x14ac:dyDescent="0.2">
      <c r="A164" s="149">
        <f>'S8b Ausgleich'!B32</f>
        <v>0</v>
      </c>
      <c r="B164" s="390">
        <f>'S8b Ausgleich'!C32</f>
        <v>0</v>
      </c>
      <c r="C164" s="391">
        <f>'S8b Ausgleich'!G32</f>
        <v>0</v>
      </c>
      <c r="D164" s="321">
        <f>Grunddaten_Antrag!$E$50</f>
        <v>0</v>
      </c>
      <c r="E164" s="392" t="str">
        <f>'S8b Ausgleich'!F32</f>
        <v xml:space="preserve"> </v>
      </c>
      <c r="F164" s="393">
        <f>'S8b Ausgleich'!E32</f>
        <v>0</v>
      </c>
      <c r="G164" s="385">
        <f>'S8b Ausgleich'!H32</f>
        <v>0</v>
      </c>
      <c r="H164" s="150">
        <f t="shared" si="9"/>
        <v>0</v>
      </c>
      <c r="I164" s="327">
        <f>IF(Grunddaten_Antrag!E74="ja",'S8b Ausgleich'!I32,'S8b Ausgleich'!J32)</f>
        <v>0</v>
      </c>
      <c r="J164" s="151">
        <f t="shared" si="10"/>
        <v>0</v>
      </c>
      <c r="K164" s="152">
        <f>'S8b Ausgleich'!K32</f>
        <v>0</v>
      </c>
      <c r="L164" s="154">
        <f t="shared" si="13"/>
        <v>0</v>
      </c>
      <c r="M164" s="394">
        <f t="shared" si="11"/>
        <v>0</v>
      </c>
      <c r="N164" s="394">
        <f t="shared" si="12"/>
        <v>0</v>
      </c>
    </row>
    <row r="165" spans="1:14" ht="14.25" x14ac:dyDescent="0.2">
      <c r="A165" s="149">
        <f>'S8b Ausgleich'!B33</f>
        <v>0</v>
      </c>
      <c r="B165" s="390">
        <f>'S8b Ausgleich'!C33</f>
        <v>0</v>
      </c>
      <c r="C165" s="391">
        <f>'S8b Ausgleich'!G33</f>
        <v>0</v>
      </c>
      <c r="D165" s="321">
        <f>Grunddaten_Antrag!$E$50</f>
        <v>0</v>
      </c>
      <c r="E165" s="392" t="str">
        <f>'S8b Ausgleich'!F33</f>
        <v xml:space="preserve"> </v>
      </c>
      <c r="F165" s="393">
        <f>'S8b Ausgleich'!E33</f>
        <v>0</v>
      </c>
      <c r="G165" s="385">
        <f>'S8b Ausgleich'!H33</f>
        <v>0</v>
      </c>
      <c r="H165" s="150">
        <f t="shared" si="9"/>
        <v>0</v>
      </c>
      <c r="I165" s="327">
        <f>IF(Grunddaten_Antrag!E75="ja",'S8b Ausgleich'!I33,'S8b Ausgleich'!J33)</f>
        <v>0</v>
      </c>
      <c r="J165" s="151">
        <f t="shared" si="10"/>
        <v>0</v>
      </c>
      <c r="K165" s="152">
        <f>'S8b Ausgleich'!K33</f>
        <v>0</v>
      </c>
      <c r="L165" s="154">
        <f t="shared" si="13"/>
        <v>0</v>
      </c>
      <c r="M165" s="394">
        <f t="shared" si="11"/>
        <v>0</v>
      </c>
      <c r="N165" s="394">
        <f t="shared" si="12"/>
        <v>0</v>
      </c>
    </row>
    <row r="166" spans="1:14" ht="14.25" x14ac:dyDescent="0.2">
      <c r="A166" s="149">
        <f>'S8b Ausgleich'!B34</f>
        <v>0</v>
      </c>
      <c r="B166" s="390">
        <f>'S8b Ausgleich'!C34</f>
        <v>0</v>
      </c>
      <c r="C166" s="391">
        <f>'S8b Ausgleich'!G34</f>
        <v>0</v>
      </c>
      <c r="D166" s="321">
        <f>Grunddaten_Antrag!$E$50</f>
        <v>0</v>
      </c>
      <c r="E166" s="392" t="str">
        <f>'S8b Ausgleich'!F34</f>
        <v xml:space="preserve"> </v>
      </c>
      <c r="F166" s="393">
        <f>'S8b Ausgleich'!E34</f>
        <v>0</v>
      </c>
      <c r="G166" s="385">
        <f>'S8b Ausgleich'!H34</f>
        <v>0</v>
      </c>
      <c r="H166" s="150">
        <f t="shared" si="9"/>
        <v>0</v>
      </c>
      <c r="I166" s="327">
        <f>IF(Grunddaten_Antrag!E76="ja",'S8b Ausgleich'!I34,'S8b Ausgleich'!J34)</f>
        <v>0</v>
      </c>
      <c r="J166" s="151">
        <f t="shared" si="10"/>
        <v>0</v>
      </c>
      <c r="K166" s="152">
        <f>'S8b Ausgleich'!K34</f>
        <v>0</v>
      </c>
      <c r="L166" s="154">
        <f t="shared" si="13"/>
        <v>0</v>
      </c>
      <c r="M166" s="394">
        <f t="shared" si="11"/>
        <v>0</v>
      </c>
      <c r="N166" s="394">
        <f t="shared" si="12"/>
        <v>0</v>
      </c>
    </row>
    <row r="167" spans="1:14" ht="14.25" x14ac:dyDescent="0.2">
      <c r="A167" s="149">
        <f>'S8b Ausgleich'!B35</f>
        <v>0</v>
      </c>
      <c r="B167" s="390">
        <f>'S8b Ausgleich'!C35</f>
        <v>0</v>
      </c>
      <c r="C167" s="391">
        <f>'S8b Ausgleich'!G35</f>
        <v>0</v>
      </c>
      <c r="D167" s="321">
        <f>Grunddaten_Antrag!$E$50</f>
        <v>0</v>
      </c>
      <c r="E167" s="392" t="str">
        <f>'S8b Ausgleich'!F35</f>
        <v xml:space="preserve"> </v>
      </c>
      <c r="F167" s="393">
        <f>'S8b Ausgleich'!E35</f>
        <v>0</v>
      </c>
      <c r="G167" s="385">
        <f>'S8b Ausgleich'!H35</f>
        <v>0</v>
      </c>
      <c r="H167" s="150">
        <f t="shared" si="9"/>
        <v>0</v>
      </c>
      <c r="I167" s="327">
        <f>IF(Grunddaten_Antrag!E77="ja",'S8b Ausgleich'!I35,'S8b Ausgleich'!J35)</f>
        <v>0</v>
      </c>
      <c r="J167" s="151">
        <f t="shared" si="10"/>
        <v>0</v>
      </c>
      <c r="K167" s="152">
        <f>'S8b Ausgleich'!K35</f>
        <v>0</v>
      </c>
      <c r="L167" s="154">
        <f t="shared" si="13"/>
        <v>0</v>
      </c>
      <c r="M167" s="394">
        <f t="shared" si="11"/>
        <v>0</v>
      </c>
      <c r="N167" s="394">
        <f t="shared" si="12"/>
        <v>0</v>
      </c>
    </row>
    <row r="168" spans="1:14" ht="14.25" x14ac:dyDescent="0.2">
      <c r="A168" s="149">
        <f>'S8b Ausgleich'!B36</f>
        <v>0</v>
      </c>
      <c r="B168" s="390">
        <f>'S8b Ausgleich'!C36</f>
        <v>0</v>
      </c>
      <c r="C168" s="391">
        <f>'S8b Ausgleich'!G36</f>
        <v>0</v>
      </c>
      <c r="D168" s="321">
        <f>Grunddaten_Antrag!$E$50</f>
        <v>0</v>
      </c>
      <c r="E168" s="392" t="str">
        <f>'S8b Ausgleich'!F36</f>
        <v xml:space="preserve"> </v>
      </c>
      <c r="F168" s="393">
        <f>'S8b Ausgleich'!E36</f>
        <v>0</v>
      </c>
      <c r="G168" s="385">
        <f>'S8b Ausgleich'!H36</f>
        <v>0</v>
      </c>
      <c r="H168" s="150">
        <f t="shared" si="9"/>
        <v>0</v>
      </c>
      <c r="I168" s="327">
        <f>IF(Grunddaten_Antrag!E78="ja",'S8b Ausgleich'!I36,'S8b Ausgleich'!J36)</f>
        <v>0</v>
      </c>
      <c r="J168" s="151">
        <f t="shared" si="10"/>
        <v>0</v>
      </c>
      <c r="K168" s="152">
        <f>'S8b Ausgleich'!K36</f>
        <v>0</v>
      </c>
      <c r="L168" s="154">
        <f t="shared" si="13"/>
        <v>0</v>
      </c>
      <c r="M168" s="394">
        <f t="shared" si="11"/>
        <v>0</v>
      </c>
      <c r="N168" s="394">
        <f t="shared" si="12"/>
        <v>0</v>
      </c>
    </row>
    <row r="169" spans="1:14" ht="14.25" x14ac:dyDescent="0.2">
      <c r="A169" s="149">
        <f>'S8b Ausgleich'!B37</f>
        <v>0</v>
      </c>
      <c r="B169" s="390">
        <f>'S8b Ausgleich'!C37</f>
        <v>0</v>
      </c>
      <c r="C169" s="391">
        <f>'S8b Ausgleich'!G37</f>
        <v>0</v>
      </c>
      <c r="D169" s="321">
        <f>Grunddaten_Antrag!$E$50</f>
        <v>0</v>
      </c>
      <c r="E169" s="392" t="str">
        <f>'S8b Ausgleich'!F37</f>
        <v xml:space="preserve"> </v>
      </c>
      <c r="F169" s="393">
        <f>'S8b Ausgleich'!E37</f>
        <v>0</v>
      </c>
      <c r="G169" s="385">
        <f>'S8b Ausgleich'!H37</f>
        <v>0</v>
      </c>
      <c r="H169" s="150">
        <f t="shared" si="9"/>
        <v>0</v>
      </c>
      <c r="I169" s="327">
        <f>IF(Grunddaten_Antrag!E79="ja",'S8b Ausgleich'!I37,'S8b Ausgleich'!J37)</f>
        <v>0</v>
      </c>
      <c r="J169" s="151">
        <f t="shared" si="10"/>
        <v>0</v>
      </c>
      <c r="K169" s="152">
        <f>'S8b Ausgleich'!K37</f>
        <v>0</v>
      </c>
      <c r="L169" s="154">
        <f t="shared" si="13"/>
        <v>0</v>
      </c>
      <c r="M169" s="394">
        <f t="shared" si="11"/>
        <v>0</v>
      </c>
      <c r="N169" s="394">
        <f t="shared" si="12"/>
        <v>0</v>
      </c>
    </row>
    <row r="170" spans="1:14" ht="14.25" x14ac:dyDescent="0.2">
      <c r="A170" s="149">
        <f>'S8b Ausgleich'!B38</f>
        <v>0</v>
      </c>
      <c r="B170" s="390">
        <f>'S8b Ausgleich'!C38</f>
        <v>0</v>
      </c>
      <c r="C170" s="391">
        <f>'S8b Ausgleich'!G38</f>
        <v>0</v>
      </c>
      <c r="D170" s="321">
        <f>Grunddaten_Antrag!$E$50</f>
        <v>0</v>
      </c>
      <c r="E170" s="392" t="str">
        <f>'S8b Ausgleich'!F38</f>
        <v xml:space="preserve"> </v>
      </c>
      <c r="F170" s="393">
        <f>'S8b Ausgleich'!E38</f>
        <v>0</v>
      </c>
      <c r="G170" s="385">
        <f>'S8b Ausgleich'!H38</f>
        <v>0</v>
      </c>
      <c r="H170" s="150">
        <f t="shared" si="9"/>
        <v>0</v>
      </c>
      <c r="I170" s="327">
        <f>IF(Grunddaten_Antrag!E80="ja",'S8b Ausgleich'!I38,'S8b Ausgleich'!J38)</f>
        <v>0</v>
      </c>
      <c r="J170" s="151">
        <f t="shared" si="10"/>
        <v>0</v>
      </c>
      <c r="K170" s="152">
        <f>'S8b Ausgleich'!K38</f>
        <v>0</v>
      </c>
      <c r="L170" s="154">
        <f t="shared" si="13"/>
        <v>0</v>
      </c>
      <c r="M170" s="394">
        <f t="shared" si="11"/>
        <v>0</v>
      </c>
      <c r="N170" s="394">
        <f t="shared" si="12"/>
        <v>0</v>
      </c>
    </row>
    <row r="171" spans="1:14" ht="14.25" x14ac:dyDescent="0.2">
      <c r="A171" s="149">
        <f>'S8b Ausgleich'!B39</f>
        <v>0</v>
      </c>
      <c r="B171" s="390">
        <f>'S8b Ausgleich'!C39</f>
        <v>0</v>
      </c>
      <c r="C171" s="391">
        <f>'S8b Ausgleich'!G39</f>
        <v>0</v>
      </c>
      <c r="D171" s="321">
        <f>Grunddaten_Antrag!$E$50</f>
        <v>0</v>
      </c>
      <c r="E171" s="392" t="str">
        <f>'S8b Ausgleich'!F39</f>
        <v xml:space="preserve"> </v>
      </c>
      <c r="F171" s="393">
        <f>'S8b Ausgleich'!E39</f>
        <v>0</v>
      </c>
      <c r="G171" s="385">
        <f>'S8b Ausgleich'!H39</f>
        <v>0</v>
      </c>
      <c r="H171" s="150">
        <f t="shared" si="9"/>
        <v>0</v>
      </c>
      <c r="I171" s="327">
        <f>IF(Grunddaten_Antrag!E81="ja",'S8b Ausgleich'!I39,'S8b Ausgleich'!J39)</f>
        <v>0</v>
      </c>
      <c r="J171" s="151">
        <f t="shared" si="10"/>
        <v>0</v>
      </c>
      <c r="K171" s="152">
        <f>'S8b Ausgleich'!K39</f>
        <v>0</v>
      </c>
      <c r="L171" s="154">
        <f t="shared" si="13"/>
        <v>0</v>
      </c>
      <c r="M171" s="394">
        <f t="shared" si="11"/>
        <v>0</v>
      </c>
      <c r="N171" s="394">
        <f t="shared" si="12"/>
        <v>0</v>
      </c>
    </row>
    <row r="172" spans="1:14" ht="14.25" x14ac:dyDescent="0.2">
      <c r="A172" s="149">
        <f>'S8b Ausgleich'!B40</f>
        <v>0</v>
      </c>
      <c r="B172" s="390">
        <f>'S8b Ausgleich'!C40</f>
        <v>0</v>
      </c>
      <c r="C172" s="391">
        <f>'S8b Ausgleich'!G40</f>
        <v>0</v>
      </c>
      <c r="D172" s="321">
        <f>Grunddaten_Antrag!$E$50</f>
        <v>0</v>
      </c>
      <c r="E172" s="392" t="str">
        <f>'S8b Ausgleich'!F40</f>
        <v xml:space="preserve"> </v>
      </c>
      <c r="F172" s="393">
        <f>'S8b Ausgleich'!E40</f>
        <v>0</v>
      </c>
      <c r="G172" s="385">
        <f>'S8b Ausgleich'!H40</f>
        <v>0</v>
      </c>
      <c r="H172" s="150">
        <f t="shared" si="9"/>
        <v>0</v>
      </c>
      <c r="I172" s="327">
        <f>IF(Grunddaten_Antrag!E82="ja",'S8b Ausgleich'!I40,'S8b Ausgleich'!J40)</f>
        <v>0</v>
      </c>
      <c r="J172" s="151">
        <f t="shared" si="10"/>
        <v>0</v>
      </c>
      <c r="K172" s="152">
        <f>'S8b Ausgleich'!K40</f>
        <v>0</v>
      </c>
      <c r="L172" s="154">
        <f t="shared" si="13"/>
        <v>0</v>
      </c>
      <c r="M172" s="394">
        <f t="shared" si="11"/>
        <v>0</v>
      </c>
      <c r="N172" s="394">
        <f t="shared" si="12"/>
        <v>0</v>
      </c>
    </row>
    <row r="173" spans="1:14" ht="14.25" x14ac:dyDescent="0.2">
      <c r="A173" s="149">
        <f>'S8b Ausgleich'!B41</f>
        <v>0</v>
      </c>
      <c r="B173" s="390">
        <f>'S8b Ausgleich'!C41</f>
        <v>0</v>
      </c>
      <c r="C173" s="391">
        <f>'S8b Ausgleich'!G41</f>
        <v>0</v>
      </c>
      <c r="D173" s="321">
        <f>Grunddaten_Antrag!$E$50</f>
        <v>0</v>
      </c>
      <c r="E173" s="392" t="str">
        <f>'S8b Ausgleich'!F41</f>
        <v xml:space="preserve"> </v>
      </c>
      <c r="F173" s="393">
        <f>'S8b Ausgleich'!E41</f>
        <v>0</v>
      </c>
      <c r="G173" s="385">
        <f>'S8b Ausgleich'!H41</f>
        <v>0</v>
      </c>
      <c r="H173" s="150">
        <f t="shared" si="9"/>
        <v>0</v>
      </c>
      <c r="I173" s="327">
        <f>IF(Grunddaten_Antrag!E83="ja",'S8b Ausgleich'!I41,'S8b Ausgleich'!J41)</f>
        <v>0</v>
      </c>
      <c r="J173" s="151">
        <f t="shared" si="10"/>
        <v>0</v>
      </c>
      <c r="K173" s="152">
        <f>'S8b Ausgleich'!K41</f>
        <v>0</v>
      </c>
      <c r="L173" s="154">
        <f t="shared" si="13"/>
        <v>0</v>
      </c>
      <c r="M173" s="394">
        <f t="shared" si="11"/>
        <v>0</v>
      </c>
      <c r="N173" s="394">
        <f t="shared" si="12"/>
        <v>0</v>
      </c>
    </row>
    <row r="174" spans="1:14" ht="14.25" x14ac:dyDescent="0.2">
      <c r="A174" s="149">
        <f>'S8b Ausgleich'!B42</f>
        <v>0</v>
      </c>
      <c r="B174" s="390">
        <f>'S8b Ausgleich'!C42</f>
        <v>0</v>
      </c>
      <c r="C174" s="391">
        <f>'S8b Ausgleich'!G42</f>
        <v>0</v>
      </c>
      <c r="D174" s="321">
        <f>Grunddaten_Antrag!$E$50</f>
        <v>0</v>
      </c>
      <c r="E174" s="392" t="str">
        <f>'S8b Ausgleich'!F42</f>
        <v xml:space="preserve"> </v>
      </c>
      <c r="F174" s="393">
        <f>'S8b Ausgleich'!E42</f>
        <v>0</v>
      </c>
      <c r="G174" s="385">
        <f>'S8b Ausgleich'!H42</f>
        <v>0</v>
      </c>
      <c r="H174" s="150">
        <f t="shared" si="9"/>
        <v>0</v>
      </c>
      <c r="I174" s="327">
        <f>IF(Grunddaten_Antrag!E84="ja",'S8b Ausgleich'!I42,'S8b Ausgleich'!J42)</f>
        <v>0</v>
      </c>
      <c r="J174" s="151">
        <f t="shared" si="10"/>
        <v>0</v>
      </c>
      <c r="K174" s="152">
        <f>'S8b Ausgleich'!K42</f>
        <v>0</v>
      </c>
      <c r="L174" s="154">
        <f t="shared" si="13"/>
        <v>0</v>
      </c>
      <c r="M174" s="394">
        <f t="shared" si="11"/>
        <v>0</v>
      </c>
      <c r="N174" s="394">
        <f t="shared" si="12"/>
        <v>0</v>
      </c>
    </row>
    <row r="175" spans="1:14" ht="14.25" x14ac:dyDescent="0.2">
      <c r="A175" s="149">
        <f>'S8b Ausgleich'!B43</f>
        <v>0</v>
      </c>
      <c r="B175" s="390">
        <f>'S8b Ausgleich'!C43</f>
        <v>0</v>
      </c>
      <c r="C175" s="391">
        <f>'S8b Ausgleich'!G43</f>
        <v>0</v>
      </c>
      <c r="D175" s="321">
        <f>Grunddaten_Antrag!$E$50</f>
        <v>0</v>
      </c>
      <c r="E175" s="392" t="str">
        <f>'S8b Ausgleich'!F43</f>
        <v xml:space="preserve"> </v>
      </c>
      <c r="F175" s="393">
        <f>'S8b Ausgleich'!E43</f>
        <v>0</v>
      </c>
      <c r="G175" s="385">
        <f>'S8b Ausgleich'!H43</f>
        <v>0</v>
      </c>
      <c r="H175" s="150">
        <f t="shared" si="9"/>
        <v>0</v>
      </c>
      <c r="I175" s="327">
        <f>IF(Grunddaten_Antrag!E85="ja",'S8b Ausgleich'!I43,'S8b Ausgleich'!J43)</f>
        <v>0</v>
      </c>
      <c r="J175" s="151">
        <f t="shared" si="10"/>
        <v>0</v>
      </c>
      <c r="K175" s="152">
        <f>'S8b Ausgleich'!K43</f>
        <v>0</v>
      </c>
      <c r="L175" s="154">
        <f t="shared" si="13"/>
        <v>0</v>
      </c>
      <c r="M175" s="394">
        <f t="shared" si="11"/>
        <v>0</v>
      </c>
      <c r="N175" s="394">
        <f t="shared" si="12"/>
        <v>0</v>
      </c>
    </row>
    <row r="176" spans="1:14" ht="14.25" x14ac:dyDescent="0.2">
      <c r="A176" s="149">
        <f>'S8b Ausgleich'!B44</f>
        <v>0</v>
      </c>
      <c r="B176" s="390">
        <f>'S8b Ausgleich'!C44</f>
        <v>0</v>
      </c>
      <c r="C176" s="391">
        <f>'S8b Ausgleich'!G44</f>
        <v>0</v>
      </c>
      <c r="D176" s="321">
        <f>Grunddaten_Antrag!$E$50</f>
        <v>0</v>
      </c>
      <c r="E176" s="392" t="str">
        <f>'S8b Ausgleich'!F44</f>
        <v xml:space="preserve"> </v>
      </c>
      <c r="F176" s="393">
        <f>'S8b Ausgleich'!E44</f>
        <v>0</v>
      </c>
      <c r="G176" s="385">
        <f>'S8b Ausgleich'!H44</f>
        <v>0</v>
      </c>
      <c r="H176" s="150">
        <f t="shared" si="9"/>
        <v>0</v>
      </c>
      <c r="I176" s="327">
        <f>IF(Grunddaten_Antrag!E86="ja",'S8b Ausgleich'!I44,'S8b Ausgleich'!J44)</f>
        <v>0</v>
      </c>
      <c r="J176" s="151">
        <f t="shared" si="10"/>
        <v>0</v>
      </c>
      <c r="K176" s="152">
        <f>'S8b Ausgleich'!K44</f>
        <v>0</v>
      </c>
      <c r="L176" s="154">
        <f t="shared" si="13"/>
        <v>0</v>
      </c>
      <c r="M176" s="394">
        <f t="shared" si="11"/>
        <v>0</v>
      </c>
      <c r="N176" s="394">
        <f t="shared" si="12"/>
        <v>0</v>
      </c>
    </row>
    <row r="177" spans="1:14" ht="14.25" x14ac:dyDescent="0.2">
      <c r="A177" s="149">
        <f>'S8b Ausgleich'!B45</f>
        <v>0</v>
      </c>
      <c r="B177" s="390">
        <f>'S8b Ausgleich'!C45</f>
        <v>0</v>
      </c>
      <c r="C177" s="391">
        <f>'S8b Ausgleich'!G45</f>
        <v>0</v>
      </c>
      <c r="D177" s="321">
        <f>Grunddaten_Antrag!$E$50</f>
        <v>0</v>
      </c>
      <c r="E177" s="392" t="str">
        <f>'S8b Ausgleich'!F45</f>
        <v xml:space="preserve"> </v>
      </c>
      <c r="F177" s="393">
        <f>'S8b Ausgleich'!E45</f>
        <v>0</v>
      </c>
      <c r="G177" s="385">
        <f>'S8b Ausgleich'!H45</f>
        <v>0</v>
      </c>
      <c r="H177" s="150">
        <f t="shared" si="9"/>
        <v>0</v>
      </c>
      <c r="I177" s="327">
        <f>IF(Grunddaten_Antrag!E87="ja",'S8b Ausgleich'!I45,'S8b Ausgleich'!J45)</f>
        <v>0</v>
      </c>
      <c r="J177" s="151">
        <f t="shared" si="10"/>
        <v>0</v>
      </c>
      <c r="K177" s="152">
        <f>'S8b Ausgleich'!K45</f>
        <v>0</v>
      </c>
      <c r="L177" s="154">
        <f t="shared" si="13"/>
        <v>0</v>
      </c>
      <c r="M177" s="394">
        <f t="shared" si="11"/>
        <v>0</v>
      </c>
      <c r="N177" s="394">
        <f t="shared" si="12"/>
        <v>0</v>
      </c>
    </row>
    <row r="178" spans="1:14" ht="14.25" x14ac:dyDescent="0.2">
      <c r="A178" s="149">
        <f>'S8b Ausgleich'!B46</f>
        <v>0</v>
      </c>
      <c r="B178" s="390">
        <f>'S8b Ausgleich'!C46</f>
        <v>0</v>
      </c>
      <c r="C178" s="391">
        <f>'S8b Ausgleich'!G46</f>
        <v>0</v>
      </c>
      <c r="D178" s="321">
        <f>Grunddaten_Antrag!$E$50</f>
        <v>0</v>
      </c>
      <c r="E178" s="392" t="str">
        <f>'S8b Ausgleich'!F46</f>
        <v xml:space="preserve"> </v>
      </c>
      <c r="F178" s="393">
        <f>'S8b Ausgleich'!E46</f>
        <v>0</v>
      </c>
      <c r="G178" s="385">
        <f>'S8b Ausgleich'!H46</f>
        <v>0</v>
      </c>
      <c r="H178" s="150">
        <f t="shared" si="9"/>
        <v>0</v>
      </c>
      <c r="I178" s="327">
        <f>IF(Grunddaten_Antrag!E88="ja",'S8b Ausgleich'!I46,'S8b Ausgleich'!J46)</f>
        <v>0</v>
      </c>
      <c r="J178" s="151">
        <f t="shared" si="10"/>
        <v>0</v>
      </c>
      <c r="K178" s="152">
        <f>'S8b Ausgleich'!K46</f>
        <v>0</v>
      </c>
      <c r="L178" s="154">
        <f t="shared" si="13"/>
        <v>0</v>
      </c>
      <c r="M178" s="394">
        <f t="shared" si="11"/>
        <v>0</v>
      </c>
      <c r="N178" s="394">
        <f t="shared" si="12"/>
        <v>0</v>
      </c>
    </row>
    <row r="179" spans="1:14" ht="14.25" x14ac:dyDescent="0.2">
      <c r="A179" s="149">
        <f>'S8b Ausgleich'!B47</f>
        <v>0</v>
      </c>
      <c r="B179" s="390">
        <f>'S8b Ausgleich'!C47</f>
        <v>0</v>
      </c>
      <c r="C179" s="391">
        <f>'S8b Ausgleich'!G47</f>
        <v>0</v>
      </c>
      <c r="D179" s="321">
        <f>Grunddaten_Antrag!$E$50</f>
        <v>0</v>
      </c>
      <c r="E179" s="392" t="str">
        <f>'S8b Ausgleich'!F47</f>
        <v xml:space="preserve"> </v>
      </c>
      <c r="F179" s="393">
        <f>'S8b Ausgleich'!E47</f>
        <v>0</v>
      </c>
      <c r="G179" s="385">
        <f>'S8b Ausgleich'!H47</f>
        <v>0</v>
      </c>
      <c r="H179" s="150">
        <f t="shared" si="9"/>
        <v>0</v>
      </c>
      <c r="I179" s="327">
        <f>IF(Grunddaten_Antrag!E89="ja",'S8b Ausgleich'!I47,'S8b Ausgleich'!J47)</f>
        <v>0</v>
      </c>
      <c r="J179" s="151">
        <f t="shared" si="10"/>
        <v>0</v>
      </c>
      <c r="K179" s="152">
        <f>'S8b Ausgleich'!K47</f>
        <v>0</v>
      </c>
      <c r="L179" s="154">
        <f t="shared" si="13"/>
        <v>0</v>
      </c>
      <c r="M179" s="394">
        <f t="shared" si="11"/>
        <v>0</v>
      </c>
      <c r="N179" s="394">
        <f t="shared" si="12"/>
        <v>0</v>
      </c>
    </row>
    <row r="180" spans="1:14" ht="14.25" x14ac:dyDescent="0.2">
      <c r="A180" s="149">
        <f>'S8b Ausgleich'!B48</f>
        <v>0</v>
      </c>
      <c r="B180" s="390">
        <f>'S8b Ausgleich'!C48</f>
        <v>0</v>
      </c>
      <c r="C180" s="391">
        <f>'S8b Ausgleich'!G48</f>
        <v>0</v>
      </c>
      <c r="D180" s="321">
        <f>Grunddaten_Antrag!$E$50</f>
        <v>0</v>
      </c>
      <c r="E180" s="392" t="str">
        <f>'S8b Ausgleich'!F48</f>
        <v xml:space="preserve"> </v>
      </c>
      <c r="F180" s="393">
        <f>'S8b Ausgleich'!E48</f>
        <v>0</v>
      </c>
      <c r="G180" s="385">
        <f>'S8b Ausgleich'!H48</f>
        <v>0</v>
      </c>
      <c r="H180" s="150">
        <f t="shared" si="9"/>
        <v>0</v>
      </c>
      <c r="I180" s="327">
        <f>IF(Grunddaten_Antrag!E90="ja",'S8b Ausgleich'!I48,'S8b Ausgleich'!J48)</f>
        <v>0</v>
      </c>
      <c r="J180" s="151">
        <f t="shared" si="10"/>
        <v>0</v>
      </c>
      <c r="K180" s="152">
        <f>'S8b Ausgleich'!K48</f>
        <v>0</v>
      </c>
      <c r="L180" s="154">
        <f t="shared" si="13"/>
        <v>0</v>
      </c>
      <c r="M180" s="394">
        <f t="shared" si="11"/>
        <v>0</v>
      </c>
      <c r="N180" s="394">
        <f t="shared" si="12"/>
        <v>0</v>
      </c>
    </row>
    <row r="181" spans="1:14" ht="14.25" x14ac:dyDescent="0.2">
      <c r="A181" s="149">
        <f>'S8b Ausgleich'!B49</f>
        <v>0</v>
      </c>
      <c r="B181" s="390">
        <f>'S8b Ausgleich'!C49</f>
        <v>0</v>
      </c>
      <c r="C181" s="391">
        <f>'S8b Ausgleich'!G49</f>
        <v>0</v>
      </c>
      <c r="D181" s="321">
        <f>Grunddaten_Antrag!$E$50</f>
        <v>0</v>
      </c>
      <c r="E181" s="392" t="str">
        <f>'S8b Ausgleich'!F49</f>
        <v xml:space="preserve"> </v>
      </c>
      <c r="F181" s="393">
        <f>'S8b Ausgleich'!E49</f>
        <v>0</v>
      </c>
      <c r="G181" s="385">
        <f>'S8b Ausgleich'!H49</f>
        <v>0</v>
      </c>
      <c r="H181" s="150">
        <f t="shared" si="9"/>
        <v>0</v>
      </c>
      <c r="I181" s="327">
        <f>IF(Grunddaten_Antrag!E91="ja",'S8b Ausgleich'!I49,'S8b Ausgleich'!J49)</f>
        <v>0</v>
      </c>
      <c r="J181" s="151">
        <f t="shared" si="10"/>
        <v>0</v>
      </c>
      <c r="K181" s="152">
        <f>'S8b Ausgleich'!K49</f>
        <v>0</v>
      </c>
      <c r="L181" s="154">
        <f t="shared" si="13"/>
        <v>0</v>
      </c>
      <c r="M181" s="394">
        <f t="shared" si="11"/>
        <v>0</v>
      </c>
      <c r="N181" s="394">
        <f t="shared" si="12"/>
        <v>0</v>
      </c>
    </row>
    <row r="182" spans="1:14" ht="14.25" x14ac:dyDescent="0.2">
      <c r="A182" s="149">
        <f>'S8b Ausgleich'!B50</f>
        <v>0</v>
      </c>
      <c r="B182" s="390">
        <f>'S8b Ausgleich'!C50</f>
        <v>0</v>
      </c>
      <c r="C182" s="391">
        <f>'S8b Ausgleich'!G50</f>
        <v>0</v>
      </c>
      <c r="D182" s="321">
        <f>Grunddaten_Antrag!$E$50</f>
        <v>0</v>
      </c>
      <c r="E182" s="392" t="str">
        <f>'S8b Ausgleich'!F50</f>
        <v xml:space="preserve"> </v>
      </c>
      <c r="F182" s="393">
        <f>'S8b Ausgleich'!E50</f>
        <v>0</v>
      </c>
      <c r="G182" s="385">
        <f>'S8b Ausgleich'!H50</f>
        <v>0</v>
      </c>
      <c r="H182" s="150">
        <f t="shared" si="9"/>
        <v>0</v>
      </c>
      <c r="I182" s="327">
        <f>IF(Grunddaten_Antrag!E92="ja",'S8b Ausgleich'!I50,'S8b Ausgleich'!J50)</f>
        <v>0</v>
      </c>
      <c r="J182" s="151">
        <f t="shared" si="10"/>
        <v>0</v>
      </c>
      <c r="K182" s="152">
        <f>'S8b Ausgleich'!K50</f>
        <v>0</v>
      </c>
      <c r="L182" s="154">
        <f t="shared" si="13"/>
        <v>0</v>
      </c>
      <c r="M182" s="394">
        <f t="shared" si="11"/>
        <v>0</v>
      </c>
      <c r="N182" s="394">
        <f t="shared" si="12"/>
        <v>0</v>
      </c>
    </row>
    <row r="183" spans="1:14" ht="14.25" x14ac:dyDescent="0.2">
      <c r="A183" s="149">
        <f>'S8b Ausgleich'!B51</f>
        <v>0</v>
      </c>
      <c r="B183" s="390">
        <f>'S8b Ausgleich'!C51</f>
        <v>0</v>
      </c>
      <c r="C183" s="391">
        <f>'S8b Ausgleich'!G51</f>
        <v>0</v>
      </c>
      <c r="D183" s="321">
        <f>Grunddaten_Antrag!$E$50</f>
        <v>0</v>
      </c>
      <c r="E183" s="392" t="str">
        <f>'S8b Ausgleich'!F51</f>
        <v xml:space="preserve"> </v>
      </c>
      <c r="F183" s="393">
        <f>'S8b Ausgleich'!E51</f>
        <v>0</v>
      </c>
      <c r="G183" s="385">
        <f>'S8b Ausgleich'!H51</f>
        <v>0</v>
      </c>
      <c r="H183" s="150">
        <f t="shared" si="9"/>
        <v>0</v>
      </c>
      <c r="I183" s="327">
        <f>IF(Grunddaten_Antrag!E93="ja",'S8b Ausgleich'!I51,'S8b Ausgleich'!J51)</f>
        <v>0</v>
      </c>
      <c r="J183" s="151">
        <f t="shared" si="10"/>
        <v>0</v>
      </c>
      <c r="K183" s="152">
        <f>'S8b Ausgleich'!K51</f>
        <v>0</v>
      </c>
      <c r="L183" s="154">
        <f t="shared" si="13"/>
        <v>0</v>
      </c>
      <c r="M183" s="394">
        <f t="shared" si="11"/>
        <v>0</v>
      </c>
      <c r="N183" s="394">
        <f t="shared" si="12"/>
        <v>0</v>
      </c>
    </row>
    <row r="184" spans="1:14" ht="14.25" x14ac:dyDescent="0.2">
      <c r="A184" s="149">
        <f>'S8b Ausgleich'!B52</f>
        <v>0</v>
      </c>
      <c r="B184" s="390">
        <f>'S8b Ausgleich'!C52</f>
        <v>0</v>
      </c>
      <c r="C184" s="391">
        <f>'S8b Ausgleich'!G52</f>
        <v>0</v>
      </c>
      <c r="D184" s="321">
        <f>Grunddaten_Antrag!$E$50</f>
        <v>0</v>
      </c>
      <c r="E184" s="392" t="str">
        <f>'S8b Ausgleich'!F52</f>
        <v xml:space="preserve"> </v>
      </c>
      <c r="F184" s="393">
        <f>'S8b Ausgleich'!E52</f>
        <v>0</v>
      </c>
      <c r="G184" s="385">
        <f>'S8b Ausgleich'!H52</f>
        <v>0</v>
      </c>
      <c r="H184" s="150">
        <f t="shared" si="9"/>
        <v>0</v>
      </c>
      <c r="I184" s="327">
        <f>IF(Grunddaten_Antrag!E94="ja",'S8b Ausgleich'!I52,'S8b Ausgleich'!J52)</f>
        <v>0</v>
      </c>
      <c r="J184" s="151">
        <f t="shared" si="10"/>
        <v>0</v>
      </c>
      <c r="K184" s="152">
        <f>'S8b Ausgleich'!K52</f>
        <v>0</v>
      </c>
      <c r="L184" s="154">
        <f t="shared" si="13"/>
        <v>0</v>
      </c>
      <c r="M184" s="394">
        <f t="shared" si="11"/>
        <v>0</v>
      </c>
      <c r="N184" s="394">
        <f t="shared" si="12"/>
        <v>0</v>
      </c>
    </row>
    <row r="185" spans="1:14" ht="14.25" x14ac:dyDescent="0.2">
      <c r="A185" s="149">
        <f>'S8b Ausgleich'!B53</f>
        <v>0</v>
      </c>
      <c r="B185" s="390">
        <f>'S8b Ausgleich'!C53</f>
        <v>0</v>
      </c>
      <c r="C185" s="391">
        <f>'S8b Ausgleich'!G53</f>
        <v>0</v>
      </c>
      <c r="D185" s="321">
        <f>Grunddaten_Antrag!$E$50</f>
        <v>0</v>
      </c>
      <c r="E185" s="392" t="str">
        <f>'S8b Ausgleich'!F53</f>
        <v xml:space="preserve"> </v>
      </c>
      <c r="F185" s="393">
        <f>'S8b Ausgleich'!E53</f>
        <v>0</v>
      </c>
      <c r="G185" s="385">
        <f>'S8b Ausgleich'!H53</f>
        <v>0</v>
      </c>
      <c r="H185" s="150">
        <f t="shared" si="9"/>
        <v>0</v>
      </c>
      <c r="I185" s="327">
        <f>IF(Grunddaten_Antrag!E95="ja",'S8b Ausgleich'!I53,'S8b Ausgleich'!J53)</f>
        <v>0</v>
      </c>
      <c r="J185" s="151">
        <f t="shared" si="10"/>
        <v>0</v>
      </c>
      <c r="K185" s="152">
        <f>'S8b Ausgleich'!K53</f>
        <v>0</v>
      </c>
      <c r="L185" s="154">
        <f t="shared" si="13"/>
        <v>0</v>
      </c>
      <c r="M185" s="394">
        <f t="shared" si="11"/>
        <v>0</v>
      </c>
      <c r="N185" s="394">
        <f t="shared" si="12"/>
        <v>0</v>
      </c>
    </row>
    <row r="186" spans="1:14" ht="15" x14ac:dyDescent="0.2">
      <c r="A186" s="322"/>
      <c r="B186" s="322" t="s">
        <v>58</v>
      </c>
      <c r="C186" s="323"/>
      <c r="D186" s="323"/>
      <c r="E186" s="324"/>
      <c r="F186" s="325"/>
      <c r="G186" s="326">
        <f>IF(AND(Grunddaten_Antrag!E62="nein",Grunddaten_Antrag!E63="nein",Grunddaten_Antrag!E64="nein",Grunddaten_Antrag!E67="nein",Grunddaten_Antrag!E68="nein",Grunddaten_Antrag!E69="nein"),0,SUM(G146:G185))</f>
        <v>0</v>
      </c>
      <c r="H186" s="326">
        <f>IF(AND(Grunddaten_Antrag!E62="nein",Grunddaten_Antrag!E63="nein",Grunddaten_Antrag!E64="nein",Grunddaten_Antrag!E67="nein",Grunddaten_Antrag!E68="nein",Grunddaten_Antrag!E69="nein"),0,SUM(H146:H185))</f>
        <v>0</v>
      </c>
      <c r="I186" s="327">
        <f>IF(Grunddaten_Antrag!E96="ja",'S8b Ausgleich'!I54,'S8b Ausgleich'!J54)</f>
        <v>0</v>
      </c>
      <c r="J186" s="328">
        <f>IF(AND(Grunddaten_Antrag!E62="nein",Grunddaten_Antrag!E63="nein",Grunddaten_Antrag!E64="nein",Grunddaten_Antrag!E67="nein",Grunddaten_Antrag!E68="nein",Grunddaten_Antrag!E69="nein"),0,SUM(J146:J185))</f>
        <v>0</v>
      </c>
      <c r="K186" s="329"/>
      <c r="L186" s="328">
        <f>IF(AND(Grunddaten_Antrag!E62="nein",Grunddaten_Antrag!E63="nein",Grunddaten_Antrag!E64="nein",Grunddaten_Antrag!E67="nein",Grunddaten_Antrag!E68="nein",Grunddaten_Antrag!E69="nein"),0,SUM(L146:L185))</f>
        <v>0</v>
      </c>
      <c r="M186" s="330"/>
      <c r="N186" s="330"/>
    </row>
    <row r="187" spans="1:14" x14ac:dyDescent="0.2">
      <c r="A187" s="1"/>
      <c r="E187" s="110"/>
      <c r="F187" s="1"/>
      <c r="G187" s="110"/>
      <c r="H187" s="1"/>
      <c r="J187" s="57"/>
      <c r="K187" s="110"/>
      <c r="L187" s="1"/>
    </row>
    <row r="188" spans="1:14" ht="15" x14ac:dyDescent="0.25">
      <c r="A188" s="843" t="s">
        <v>121</v>
      </c>
      <c r="B188" s="844"/>
      <c r="C188" s="845"/>
      <c r="D188" s="148" t="s">
        <v>35</v>
      </c>
      <c r="E188" s="148"/>
      <c r="F188" s="21"/>
      <c r="G188" s="110"/>
      <c r="H188" s="1"/>
      <c r="J188" s="57"/>
      <c r="K188" s="110"/>
      <c r="L188" s="1"/>
    </row>
    <row r="189" spans="1:14" ht="14.25" x14ac:dyDescent="0.2">
      <c r="A189" s="803" t="s">
        <v>507</v>
      </c>
      <c r="B189" s="803"/>
      <c r="C189" s="359">
        <f>E44</f>
        <v>0</v>
      </c>
      <c r="D189" s="148" t="s">
        <v>35</v>
      </c>
      <c r="E189" s="148"/>
      <c r="F189" s="21"/>
      <c r="G189" s="110"/>
      <c r="H189" s="1"/>
      <c r="J189" s="57"/>
      <c r="K189" s="110"/>
      <c r="L189" s="1"/>
    </row>
    <row r="190" spans="1:14" ht="14.25" x14ac:dyDescent="0.2">
      <c r="A190" s="803" t="s">
        <v>59</v>
      </c>
      <c r="B190" s="803"/>
      <c r="C190" s="359">
        <f>O134</f>
        <v>0</v>
      </c>
      <c r="D190" s="148"/>
      <c r="E190" s="148"/>
      <c r="F190" s="21"/>
      <c r="G190" s="110"/>
      <c r="H190" s="1"/>
      <c r="J190" s="57"/>
      <c r="K190" s="110"/>
      <c r="L190" s="1"/>
    </row>
    <row r="191" spans="1:14" ht="14.25" x14ac:dyDescent="0.2">
      <c r="A191" s="803" t="s">
        <v>413</v>
      </c>
      <c r="B191" s="803"/>
      <c r="C191" s="395">
        <f>L186</f>
        <v>0</v>
      </c>
      <c r="D191" s="148"/>
      <c r="E191" s="148"/>
      <c r="F191" s="21"/>
      <c r="G191" s="110"/>
      <c r="H191" s="1"/>
      <c r="J191" s="57"/>
      <c r="K191" s="110"/>
      <c r="L191" s="1"/>
    </row>
    <row r="192" spans="1:14" ht="14.25" x14ac:dyDescent="0.2">
      <c r="A192" s="846" t="s">
        <v>119</v>
      </c>
      <c r="B192" s="847"/>
      <c r="C192" s="395">
        <f>Personal!K185</f>
        <v>0</v>
      </c>
      <c r="D192" s="148"/>
      <c r="E192" s="148"/>
      <c r="F192" s="21"/>
      <c r="G192" s="110"/>
      <c r="H192" s="1"/>
      <c r="J192" s="57"/>
      <c r="K192" s="110"/>
      <c r="L192" s="1"/>
    </row>
    <row r="193" spans="1:12" ht="15" x14ac:dyDescent="0.25">
      <c r="A193" s="842" t="s">
        <v>423</v>
      </c>
      <c r="B193" s="842"/>
      <c r="C193" s="396">
        <f>SUM(C189:C192)</f>
        <v>0</v>
      </c>
      <c r="D193" s="148"/>
      <c r="E193" s="148"/>
      <c r="F193" s="21"/>
      <c r="G193" s="110"/>
      <c r="H193" s="1"/>
      <c r="J193" s="57"/>
      <c r="K193" s="110"/>
      <c r="L193" s="1"/>
    </row>
    <row r="194" spans="1:12" ht="14.25" x14ac:dyDescent="0.2">
      <c r="A194" s="397"/>
      <c r="B194" s="397"/>
      <c r="C194" s="398"/>
      <c r="D194" s="399"/>
      <c r="E194" s="399"/>
      <c r="F194" s="397"/>
      <c r="G194" s="110"/>
      <c r="H194" s="1"/>
      <c r="J194" s="57"/>
      <c r="K194" s="110"/>
      <c r="L194" s="1"/>
    </row>
    <row r="195" spans="1:12" ht="15" x14ac:dyDescent="0.25">
      <c r="A195" s="870" t="s">
        <v>347</v>
      </c>
      <c r="B195" s="871"/>
      <c r="C195" s="871"/>
      <c r="D195" s="871"/>
      <c r="E195" s="871"/>
      <c r="F195" s="872"/>
      <c r="G195" s="110"/>
      <c r="H195" s="1"/>
      <c r="J195" s="57"/>
      <c r="K195" s="110"/>
      <c r="L195" s="1"/>
    </row>
    <row r="196" spans="1:12" ht="30" customHeight="1" x14ac:dyDescent="0.2">
      <c r="A196" s="400"/>
      <c r="B196" s="401" t="s">
        <v>424</v>
      </c>
      <c r="C196" s="400" t="s">
        <v>110</v>
      </c>
      <c r="D196" s="402" t="s">
        <v>413</v>
      </c>
      <c r="E196" s="835" t="s">
        <v>120</v>
      </c>
      <c r="F196" s="835"/>
      <c r="G196" s="110"/>
      <c r="H196" s="1"/>
      <c r="J196" s="57"/>
      <c r="K196" s="110"/>
      <c r="L196" s="1"/>
    </row>
    <row r="197" spans="1:12" ht="14.25" x14ac:dyDescent="0.2">
      <c r="A197" s="403" t="s">
        <v>348</v>
      </c>
      <c r="B197" s="129"/>
      <c r="C197" s="129"/>
      <c r="D197" s="130"/>
      <c r="E197" s="836">
        <f>SUM(B197:D197)</f>
        <v>0</v>
      </c>
      <c r="F197" s="836"/>
      <c r="G197" s="110"/>
      <c r="H197" s="1"/>
      <c r="J197" s="57"/>
      <c r="K197" s="110"/>
      <c r="L197" s="1"/>
    </row>
    <row r="198" spans="1:12" ht="14.25" x14ac:dyDescent="0.2">
      <c r="A198" s="403" t="s">
        <v>349</v>
      </c>
      <c r="B198" s="408">
        <f>C189+C192</f>
        <v>0</v>
      </c>
      <c r="C198" s="408">
        <f>C190</f>
        <v>0</v>
      </c>
      <c r="D198" s="409">
        <f>C191</f>
        <v>0</v>
      </c>
      <c r="E198" s="837">
        <f>C193</f>
        <v>0</v>
      </c>
      <c r="F198" s="837"/>
      <c r="G198" s="110"/>
      <c r="H198" s="1"/>
      <c r="J198" s="57"/>
      <c r="K198" s="110"/>
      <c r="L198" s="1"/>
    </row>
    <row r="199" spans="1:12" ht="15" x14ac:dyDescent="0.25">
      <c r="A199" s="404" t="s">
        <v>111</v>
      </c>
      <c r="B199" s="410">
        <f>B198-B197</f>
        <v>0</v>
      </c>
      <c r="C199" s="410">
        <f>C198-C197</f>
        <v>0</v>
      </c>
      <c r="D199" s="411">
        <f>D198-D197</f>
        <v>0</v>
      </c>
      <c r="E199" s="828">
        <f>E198-E197</f>
        <v>0</v>
      </c>
      <c r="F199" s="828"/>
      <c r="G199" s="110"/>
      <c r="H199" s="1"/>
      <c r="J199" s="57"/>
      <c r="K199" s="110"/>
      <c r="L199" s="1"/>
    </row>
    <row r="200" spans="1:12" ht="15.75" thickBot="1" x14ac:dyDescent="0.3">
      <c r="A200" s="405" t="s">
        <v>74</v>
      </c>
      <c r="B200" s="412">
        <f>SUM(B199,C199,D199)</f>
        <v>0</v>
      </c>
      <c r="C200" s="413"/>
      <c r="D200" s="414"/>
      <c r="E200" s="829"/>
      <c r="F200" s="830"/>
      <c r="G200" s="110"/>
      <c r="H200" s="1"/>
      <c r="J200" s="57"/>
      <c r="K200" s="110"/>
      <c r="L200" s="1"/>
    </row>
    <row r="201" spans="1:12" ht="15" x14ac:dyDescent="0.25">
      <c r="A201" s="406" t="s">
        <v>112</v>
      </c>
      <c r="B201" s="415">
        <f>IF(B200&lt;0,0,B200)</f>
        <v>0</v>
      </c>
      <c r="C201" s="416"/>
      <c r="D201" s="417"/>
      <c r="E201" s="831"/>
      <c r="F201" s="832"/>
      <c r="G201" s="110"/>
      <c r="H201" s="1"/>
      <c r="J201" s="57"/>
      <c r="K201" s="110"/>
      <c r="L201" s="1"/>
    </row>
    <row r="202" spans="1:12" ht="15" x14ac:dyDescent="0.25">
      <c r="A202" s="407" t="s">
        <v>113</v>
      </c>
      <c r="B202" s="418">
        <f>IF(B200&lt;0,B200,0)</f>
        <v>0</v>
      </c>
      <c r="C202" s="419"/>
      <c r="D202" s="420"/>
      <c r="E202" s="833"/>
      <c r="F202" s="834"/>
      <c r="G202" s="110"/>
      <c r="H202" s="1"/>
      <c r="J202" s="57"/>
      <c r="K202" s="110"/>
      <c r="L202" s="1"/>
    </row>
    <row r="203" spans="1:12" x14ac:dyDescent="0.2">
      <c r="A203" s="421"/>
      <c r="B203" s="421"/>
      <c r="C203" s="421"/>
      <c r="E203" s="110"/>
      <c r="F203" s="1"/>
      <c r="G203" s="110"/>
      <c r="H203" s="1"/>
      <c r="J203" s="57"/>
      <c r="K203" s="110"/>
      <c r="L203" s="1"/>
    </row>
    <row r="204" spans="1:12" ht="15" x14ac:dyDescent="0.25">
      <c r="A204" s="422" t="s">
        <v>3</v>
      </c>
      <c r="B204" s="868">
        <f>B8</f>
        <v>0</v>
      </c>
      <c r="C204" s="869"/>
      <c r="E204" s="110"/>
      <c r="F204" s="1"/>
      <c r="G204" s="110"/>
      <c r="H204" s="1"/>
      <c r="J204" s="57"/>
      <c r="K204" s="110"/>
      <c r="L204" s="1"/>
    </row>
    <row r="209" spans="9:9" x14ac:dyDescent="0.2">
      <c r="I209" s="1" t="s">
        <v>359</v>
      </c>
    </row>
  </sheetData>
  <sheetProtection selectLockedCells="1" selectUnlockedCells="1"/>
  <mergeCells count="101">
    <mergeCell ref="B43:D43"/>
    <mergeCell ref="A73:H73"/>
    <mergeCell ref="F61:F63"/>
    <mergeCell ref="G61:G63"/>
    <mergeCell ref="H61:H63"/>
    <mergeCell ref="A61:A63"/>
    <mergeCell ref="B61:B63"/>
    <mergeCell ref="C61:C63"/>
    <mergeCell ref="D61:D63"/>
    <mergeCell ref="B44:D44"/>
    <mergeCell ref="A46:B46"/>
    <mergeCell ref="E61:E63"/>
    <mergeCell ref="B204:C204"/>
    <mergeCell ref="A195:F195"/>
    <mergeCell ref="A20:B20"/>
    <mergeCell ref="C20:D20"/>
    <mergeCell ref="E20:F20"/>
    <mergeCell ref="A22:B22"/>
    <mergeCell ref="A21:B21"/>
    <mergeCell ref="C21:D21"/>
    <mergeCell ref="A25:B25"/>
    <mergeCell ref="A28:B28"/>
    <mergeCell ref="C28:D28"/>
    <mergeCell ref="E28:F28"/>
    <mergeCell ref="C23:D23"/>
    <mergeCell ref="C24:D24"/>
    <mergeCell ref="C26:D26"/>
    <mergeCell ref="C27:D27"/>
    <mergeCell ref="C22:D22"/>
    <mergeCell ref="E22:F22"/>
    <mergeCell ref="A26:B26"/>
    <mergeCell ref="A27:B27"/>
    <mergeCell ref="E25:F25"/>
    <mergeCell ref="E27:F27"/>
    <mergeCell ref="E24:F24"/>
    <mergeCell ref="E23:F23"/>
    <mergeCell ref="A16:C16"/>
    <mergeCell ref="E30:F30"/>
    <mergeCell ref="B42:D42"/>
    <mergeCell ref="A2:H2"/>
    <mergeCell ref="A4:H4"/>
    <mergeCell ref="A12:C12"/>
    <mergeCell ref="A13:C13"/>
    <mergeCell ref="A19:B19"/>
    <mergeCell ref="C19:D19"/>
    <mergeCell ref="E19:F19"/>
    <mergeCell ref="B6:F6"/>
    <mergeCell ref="B7:F7"/>
    <mergeCell ref="B8:F8"/>
    <mergeCell ref="B9:F9"/>
    <mergeCell ref="D12:F12"/>
    <mergeCell ref="D13:F13"/>
    <mergeCell ref="D14:F14"/>
    <mergeCell ref="D15:F15"/>
    <mergeCell ref="D16:F16"/>
    <mergeCell ref="E199:F199"/>
    <mergeCell ref="E200:F202"/>
    <mergeCell ref="E196:F196"/>
    <mergeCell ref="E197:F197"/>
    <mergeCell ref="E198:F198"/>
    <mergeCell ref="A144:L144"/>
    <mergeCell ref="A193:B193"/>
    <mergeCell ref="A188:C188"/>
    <mergeCell ref="A189:B189"/>
    <mergeCell ref="A190:B190"/>
    <mergeCell ref="A191:B191"/>
    <mergeCell ref="A192:B192"/>
    <mergeCell ref="M144:N144"/>
    <mergeCell ref="F139:K139"/>
    <mergeCell ref="I141:I142"/>
    <mergeCell ref="J141:J142"/>
    <mergeCell ref="K141:K142"/>
    <mergeCell ref="F141:F142"/>
    <mergeCell ref="G141:G142"/>
    <mergeCell ref="H141:H142"/>
    <mergeCell ref="G74:G76"/>
    <mergeCell ref="H74:H76"/>
    <mergeCell ref="E74:E76"/>
    <mergeCell ref="B10:F10"/>
    <mergeCell ref="H29:I29"/>
    <mergeCell ref="E21:F21"/>
    <mergeCell ref="A33:E33"/>
    <mergeCell ref="A29:B29"/>
    <mergeCell ref="C29:D29"/>
    <mergeCell ref="A31:B31"/>
    <mergeCell ref="C31:D31"/>
    <mergeCell ref="E31:F31"/>
    <mergeCell ref="E29:F29"/>
    <mergeCell ref="A30:B30"/>
    <mergeCell ref="C30:D30"/>
    <mergeCell ref="A74:A76"/>
    <mergeCell ref="B74:B76"/>
    <mergeCell ref="C74:C76"/>
    <mergeCell ref="D74:D76"/>
    <mergeCell ref="F74:F76"/>
    <mergeCell ref="E26:F26"/>
    <mergeCell ref="C25:D25"/>
    <mergeCell ref="A18:D18"/>
    <mergeCell ref="E18:F18"/>
    <mergeCell ref="A14:C14"/>
    <mergeCell ref="A15:C15"/>
  </mergeCells>
  <phoneticPr fontId="7" type="noConversion"/>
  <dataValidations count="10">
    <dataValidation type="list" operator="equal" allowBlank="1" sqref="D14">
      <formula1>"kein Standort,Standort 50%,Standort 70%"</formula1>
      <formula2>0</formula2>
    </dataValidation>
    <dataValidation type="list" operator="equal" allowBlank="1" sqref="F89:F133">
      <formula1>"Nein,Ja"</formula1>
      <formula2>0</formula2>
    </dataValidation>
    <dataValidation operator="equal" allowBlank="1" showInputMessage="1" showErrorMessage="1" sqref="D12">
      <formula1>0</formula1>
      <formula2>0</formula2>
    </dataValidation>
    <dataValidation operator="equal" allowBlank="1" showInputMessage="1" showErrorMessage="1" promptTitle="BayKiBiG-Förderung" prompt="100 % Jahresförderung, kommunaler und staatlicher Anteil, ohne Vorkurs Deutsch,_x000a_Elternentgeltentlastung, Qualitätsbonus, U3 Förderung, Förderung verlängerte Öffnungszeit" sqref="D13">
      <formula1>0</formula1>
      <formula2>0</formula2>
    </dataValidation>
    <dataValidation operator="equal" allowBlank="1" showInputMessage="1" promptTitle="Schließtage" prompt="ohne Fortbildungs- und Konzeptionstage" sqref="I30 D15">
      <formula1>0</formula1>
      <formula2>0</formula2>
    </dataValidation>
    <dataValidation type="list" operator="equal" allowBlank="1" sqref="D89:D133">
      <mc:AlternateContent xmlns:x12ac="http://schemas.microsoft.com/office/spreadsheetml/2011/1/ac" xmlns:mc="http://schemas.openxmlformats.org/markup-compatibility/2006">
        <mc:Choice Requires="x12ac">
          <x12ac:list>'----,38,"38,5",39,40,</x12ac:list>
        </mc:Choice>
        <mc:Fallback>
          <formula1>"'----,38,38,5,39,40,"</formula1>
        </mc:Fallback>
      </mc:AlternateContent>
    </dataValidation>
    <dataValidation type="whole" allowBlank="1" showInputMessage="1" showErrorMessage="1" error="Bitte nur Zahlen zwischen 1 und 12_x000a_eintragen." sqref="C64:C70 C77:C83">
      <formula1>1</formula1>
      <formula2>12</formula2>
    </dataValidation>
    <dataValidation allowBlank="1" showInputMessage="1" showErrorMessage="1" error="Bitte nur Zahlen zwischen 1 und 4 _x000a_eintragen." sqref="D64:D70 D77:D83 G64:G70 G77:G83"/>
    <dataValidation allowBlank="1" showInputMessage="1" showErrorMessage="1" error="Bitte nur Zahlen zwischen 1 und 12_x000a_eintragen." sqref="F64:F70 F77:F83"/>
    <dataValidation operator="equal" allowBlank="1" sqref="D146:D185"/>
  </dataValidations>
  <pageMargins left="0.31496062992125984" right="0.23622047244094491" top="1.2598425196850394" bottom="0.74803149606299213" header="0.31496062992125984" footer="0.31496062992125984"/>
  <pageSetup paperSize="9" scale="38" firstPageNumber="0" fitToWidth="3" fitToHeight="3" orientation="landscape" r:id="rId1"/>
  <headerFooter>
    <oddHeader>&amp;R&amp;G</oddHeader>
    <oddFooter>&amp;LStand: 24.02.2020&amp;CMFF-Endabrechnung 2019
&amp;A
&amp;P</oddFooter>
  </headerFooter>
  <rowBreaks count="1" manualBreakCount="1">
    <brk id="59" max="14" man="1"/>
  </rowBreaks>
  <ignoredErrors>
    <ignoredError sqref="E37" formula="1"/>
  </ignoredError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9" id="{6F6F264D-1900-447E-ABD3-AB2055C2B386}">
            <xm:f>Grunddaten_Antrag!$E$36="Nein"</xm:f>
            <x14:dxf>
              <fill>
                <patternFill>
                  <bgColor theme="1" tint="0.14996795556505021"/>
                </patternFill>
              </fill>
            </x14:dxf>
          </x14:cfRule>
          <xm:sqref>A26:A27 A25:F25 C26:F27</xm:sqref>
        </x14:conditionalFormatting>
        <x14:conditionalFormatting xmlns:xm="http://schemas.microsoft.com/office/excel/2006/main">
          <x14:cfRule type="expression" priority="2" id="{0F5EFBB7-71A3-4DB2-996F-AF405345B41B}">
            <xm:f>Grunddaten_Antrag!$E$36="Ja"</xm:f>
            <x14:dxf>
              <fill>
                <patternFill>
                  <bgColor theme="1" tint="0.14996795556505021"/>
                </patternFill>
              </fill>
            </x14:dxf>
          </x14:cfRule>
          <xm:sqref>A23:F24</xm:sqref>
        </x14:conditionalFormatting>
        <x14:conditionalFormatting xmlns:xm="http://schemas.microsoft.com/office/excel/2006/main">
          <x14:cfRule type="expression" priority="112" id="{945C54A4-BB80-4DF2-B9B9-1D94F0EC37A6}">
            <xm:f>Grunddaten_Antrag!$E$51="nein"</xm:f>
            <x14:dxf>
              <fill>
                <patternFill>
                  <bgColor theme="1"/>
                </patternFill>
              </fill>
            </x14:dxf>
          </x14:cfRule>
          <xm:sqref>H89:H127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U50"/>
  <sheetViews>
    <sheetView workbookViewId="0">
      <selection activeCell="H52" sqref="H52"/>
    </sheetView>
  </sheetViews>
  <sheetFormatPr baseColWidth="10" defaultRowHeight="12.75" x14ac:dyDescent="0.2"/>
  <cols>
    <col min="5" max="5" width="24.85546875" bestFit="1" customWidth="1"/>
    <col min="11" max="11" width="31" bestFit="1" customWidth="1"/>
    <col min="13" max="13" width="28.140625" customWidth="1"/>
    <col min="15" max="15" width="25.42578125" customWidth="1"/>
    <col min="17" max="17" width="27.140625" bestFit="1" customWidth="1"/>
    <col min="18" max="18" width="17.5703125" bestFit="1" customWidth="1"/>
    <col min="19" max="19" width="23.85546875" bestFit="1" customWidth="1"/>
    <col min="20" max="20" width="14.85546875" customWidth="1"/>
    <col min="21" max="21" width="16.85546875" customWidth="1"/>
    <col min="24" max="24" width="30" customWidth="1"/>
    <col min="28" max="28" width="27.5703125" customWidth="1"/>
  </cols>
  <sheetData>
    <row r="2" spans="1:20" x14ac:dyDescent="0.2">
      <c r="A2" s="36" t="s">
        <v>86</v>
      </c>
      <c r="C2" s="36" t="s">
        <v>87</v>
      </c>
      <c r="E2" s="36" t="s">
        <v>88</v>
      </c>
      <c r="G2" s="36" t="s">
        <v>88</v>
      </c>
      <c r="I2" s="36"/>
      <c r="M2" t="s">
        <v>108</v>
      </c>
    </row>
    <row r="3" spans="1:20" x14ac:dyDescent="0.2">
      <c r="A3" s="37" t="s">
        <v>89</v>
      </c>
      <c r="C3" s="37" t="s">
        <v>89</v>
      </c>
      <c r="E3">
        <v>0</v>
      </c>
      <c r="G3">
        <v>0</v>
      </c>
      <c r="M3">
        <f>Grunddaten_Antrag!C96</f>
        <v>0</v>
      </c>
    </row>
    <row r="4" spans="1:20" x14ac:dyDescent="0.2">
      <c r="A4" t="s">
        <v>312</v>
      </c>
      <c r="C4" t="s">
        <v>90</v>
      </c>
      <c r="E4" s="38">
        <v>1</v>
      </c>
      <c r="G4" s="38">
        <v>2</v>
      </c>
    </row>
    <row r="5" spans="1:20" x14ac:dyDescent="0.2">
      <c r="A5" t="s">
        <v>93</v>
      </c>
      <c r="C5" t="s">
        <v>84</v>
      </c>
      <c r="E5">
        <v>1.2</v>
      </c>
      <c r="G5" s="38">
        <v>4.5</v>
      </c>
    </row>
    <row r="6" spans="1:20" x14ac:dyDescent="0.2">
      <c r="E6">
        <v>1.3</v>
      </c>
      <c r="M6">
        <f>IF(Grunddaten_Antrag!E55="nein",0,'S8b Ausgleich'!#REF!)</f>
        <v>0</v>
      </c>
    </row>
    <row r="7" spans="1:20" x14ac:dyDescent="0.2">
      <c r="E7">
        <v>4.5</v>
      </c>
    </row>
    <row r="8" spans="1:20" x14ac:dyDescent="0.2">
      <c r="K8" s="40"/>
    </row>
    <row r="10" spans="1:20" x14ac:dyDescent="0.2">
      <c r="A10" s="59" t="s">
        <v>91</v>
      </c>
      <c r="B10" s="59"/>
      <c r="C10" s="59"/>
      <c r="D10" s="59"/>
      <c r="E10" s="898" t="s">
        <v>122</v>
      </c>
      <c r="F10" s="898"/>
      <c r="G10" s="898"/>
      <c r="H10" s="898"/>
    </row>
    <row r="11" spans="1:20" ht="51" x14ac:dyDescent="0.2">
      <c r="A11" s="60"/>
      <c r="B11" s="60" t="s">
        <v>60</v>
      </c>
      <c r="C11" s="61" t="s">
        <v>71</v>
      </c>
      <c r="D11" s="59"/>
      <c r="E11" s="898"/>
      <c r="F11" s="898"/>
      <c r="G11" s="898"/>
      <c r="H11" s="898"/>
    </row>
    <row r="12" spans="1:20" x14ac:dyDescent="0.2">
      <c r="A12" s="62" t="s">
        <v>72</v>
      </c>
      <c r="B12" s="63">
        <f>ROUNDDOWN(Berechnungsprotokoll!C193*0.9,0)</f>
        <v>0</v>
      </c>
      <c r="C12" s="63" t="e">
        <f>ROUNDDOWN(Berechnungsprotokoll!#REF!*0.9,0)</f>
        <v>#REF!</v>
      </c>
      <c r="D12" s="59"/>
      <c r="F12">
        <v>12</v>
      </c>
      <c r="G12" s="44">
        <v>4.4999999999999997E-3</v>
      </c>
      <c r="J12" s="898" t="s">
        <v>192</v>
      </c>
      <c r="K12" s="898"/>
      <c r="L12" s="43"/>
      <c r="M12" s="59" t="s">
        <v>171</v>
      </c>
      <c r="N12" s="43"/>
      <c r="O12" s="59" t="s">
        <v>184</v>
      </c>
      <c r="P12" s="43"/>
      <c r="Q12" s="59" t="s">
        <v>229</v>
      </c>
      <c r="R12" s="59" t="s">
        <v>193</v>
      </c>
      <c r="S12" s="43"/>
      <c r="T12" s="43"/>
    </row>
    <row r="13" spans="1:20" x14ac:dyDescent="0.2">
      <c r="F13">
        <v>11</v>
      </c>
      <c r="G13" s="44">
        <v>5.0000000000000001E-3</v>
      </c>
      <c r="J13" s="232" t="s">
        <v>96</v>
      </c>
      <c r="K13" s="232" t="s">
        <v>96</v>
      </c>
      <c r="M13" t="s">
        <v>173</v>
      </c>
      <c r="O13" s="37" t="s">
        <v>96</v>
      </c>
      <c r="Q13" s="37" t="s">
        <v>96</v>
      </c>
      <c r="R13" s="37" t="s">
        <v>12</v>
      </c>
    </row>
    <row r="14" spans="1:20" x14ac:dyDescent="0.2">
      <c r="B14" s="42" t="s">
        <v>95</v>
      </c>
      <c r="C14" s="42"/>
      <c r="E14" s="116"/>
      <c r="F14">
        <v>10</v>
      </c>
      <c r="G14" s="44">
        <v>5.4999999999999997E-3</v>
      </c>
      <c r="J14" s="108" t="s">
        <v>314</v>
      </c>
      <c r="K14" s="108" t="s">
        <v>314</v>
      </c>
      <c r="M14" t="s">
        <v>172</v>
      </c>
      <c r="O14" t="s">
        <v>182</v>
      </c>
      <c r="Q14" t="s">
        <v>186</v>
      </c>
      <c r="R14" t="s">
        <v>194</v>
      </c>
    </row>
    <row r="15" spans="1:20" x14ac:dyDescent="0.2">
      <c r="A15">
        <v>12</v>
      </c>
      <c r="B15" s="41">
        <f>IF(Grunddaten_Antrag!E31=0,0,IF(30-Grunddaten_Antrag!E31&lt;0,0,IF((30-Grunddaten_Antrag!E31)&lt;=15,(30-Grunddaten_Antrag!E31)*Basiswerte!B8*Grunddaten_Antrag!E26,15*Basiswerte!B8*Grunddaten_Antrag!E26)))</f>
        <v>0</v>
      </c>
      <c r="D15">
        <v>12</v>
      </c>
      <c r="F15">
        <v>9</v>
      </c>
      <c r="G15" s="44">
        <v>6.1000000000000004E-3</v>
      </c>
      <c r="J15" s="108" t="s">
        <v>315</v>
      </c>
      <c r="K15" s="108" t="s">
        <v>315</v>
      </c>
      <c r="M15" t="s">
        <v>170</v>
      </c>
      <c r="O15" t="s">
        <v>183</v>
      </c>
      <c r="Q15" t="s">
        <v>187</v>
      </c>
      <c r="R15" t="s">
        <v>195</v>
      </c>
    </row>
    <row r="16" spans="1:20" x14ac:dyDescent="0.2">
      <c r="A16">
        <v>11</v>
      </c>
      <c r="B16" s="41">
        <f>IF(Grunddaten_Antrag!E31=0,0,IF(28-Grunddaten_Antrag!E31&lt;0,0,IF((28-Grunddaten_Antrag!E31)&lt;=14,(28-Grunddaten_Antrag!E31)*Basiswerte!C8*Grunddaten_Antrag!E26,14*Basiswerte!C8*Grunddaten_Antrag!E26)))</f>
        <v>0</v>
      </c>
      <c r="D16">
        <v>11</v>
      </c>
      <c r="F16">
        <v>8</v>
      </c>
      <c r="G16" s="44">
        <v>6.7999999999999996E-3</v>
      </c>
      <c r="J16" s="108" t="s">
        <v>316</v>
      </c>
      <c r="K16" s="108" t="s">
        <v>316</v>
      </c>
      <c r="O16" t="s">
        <v>181</v>
      </c>
      <c r="Q16" t="s">
        <v>191</v>
      </c>
      <c r="R16" t="s">
        <v>196</v>
      </c>
    </row>
    <row r="17" spans="1:21" x14ac:dyDescent="0.2">
      <c r="A17">
        <v>10</v>
      </c>
      <c r="B17" s="41">
        <f>IF(Grunddaten_Antrag!E31=0,0,IF(25-Grunddaten_Antrag!E31&lt;0,0,IF((25-Grunddaten_Antrag!E31)&lt;=13,(25-Grunddaten_Antrag!E31)*Basiswerte!D8*Grunddaten_Antrag!E26,13*Basiswerte!D8*Grunddaten_Antrag!E26)))</f>
        <v>0</v>
      </c>
      <c r="D17">
        <v>10</v>
      </c>
      <c r="F17">
        <v>7</v>
      </c>
      <c r="G17" s="44">
        <v>7.7999999999999996E-3</v>
      </c>
      <c r="J17" s="108" t="s">
        <v>317</v>
      </c>
      <c r="K17" s="108" t="s">
        <v>317</v>
      </c>
      <c r="O17" t="s">
        <v>208</v>
      </c>
      <c r="Q17" t="s">
        <v>188</v>
      </c>
      <c r="R17" t="s">
        <v>197</v>
      </c>
    </row>
    <row r="18" spans="1:21" x14ac:dyDescent="0.2">
      <c r="A18">
        <v>9</v>
      </c>
      <c r="B18" s="41">
        <f>IF(Grunddaten_Antrag!E31=0,0,IF(23-Grunddaten_Antrag!E31&lt;0,0,IF((23-Grunddaten_Antrag!E31)&lt;=11,(23-Grunddaten_Antrag!E31)*Basiswerte!E8*Grunddaten_Antrag!E26,11*Basiswerte!E8*Grunddaten_Antrag!E26)))</f>
        <v>0</v>
      </c>
      <c r="D18">
        <v>9</v>
      </c>
      <c r="F18">
        <v>6</v>
      </c>
      <c r="G18" s="43">
        <v>9.1000000000000004E-3</v>
      </c>
      <c r="J18" s="108" t="s">
        <v>291</v>
      </c>
      <c r="K18" s="108" t="s">
        <v>291</v>
      </c>
      <c r="O18" t="s">
        <v>207</v>
      </c>
      <c r="Q18" t="s">
        <v>189</v>
      </c>
      <c r="R18" t="s">
        <v>198</v>
      </c>
    </row>
    <row r="19" spans="1:21" x14ac:dyDescent="0.2">
      <c r="A19">
        <v>8</v>
      </c>
      <c r="B19" s="41">
        <f>IF(Grunddaten_Antrag!E31=0,0,IF(20-Grunddaten_Antrag!E31&lt;0,0,IF((20-Grunddaten_Antrag!E31)&lt;=10,(20-Grunddaten_Antrag!E31)*Basiswerte!F8*Grunddaten_Antrag!E26,10*Basiswerte!F8*Grunddaten_Antrag!E26)))</f>
        <v>0</v>
      </c>
      <c r="D19">
        <v>8</v>
      </c>
      <c r="F19">
        <v>5</v>
      </c>
      <c r="G19" s="43">
        <v>1.0999999999999999E-2</v>
      </c>
      <c r="J19" s="108" t="s">
        <v>318</v>
      </c>
      <c r="K19" s="108" t="s">
        <v>318</v>
      </c>
      <c r="O19" t="s">
        <v>209</v>
      </c>
      <c r="Q19" t="s">
        <v>190</v>
      </c>
    </row>
    <row r="20" spans="1:21" x14ac:dyDescent="0.2">
      <c r="A20">
        <v>7</v>
      </c>
      <c r="B20" s="41">
        <f>IF(Grunddaten_Antrag!E31=0,0,IF(18-Grunddaten_Antrag!E31&lt;0,0,IF((18-Grunddaten_Antrag!E31)&lt;=9,(18-Grunddaten_Antrag!E31)*Basiswerte!G8*Grunddaten_Antrag!E26,9*Basiswerte!G8*Grunddaten_Antrag!E26)))</f>
        <v>0</v>
      </c>
      <c r="D20">
        <v>7</v>
      </c>
      <c r="F20">
        <v>4</v>
      </c>
      <c r="G20" s="43">
        <v>1.37E-2</v>
      </c>
      <c r="J20" s="108" t="s">
        <v>319</v>
      </c>
      <c r="K20" s="108" t="s">
        <v>319</v>
      </c>
      <c r="O20" t="s">
        <v>204</v>
      </c>
    </row>
    <row r="21" spans="1:21" x14ac:dyDescent="0.2">
      <c r="A21">
        <v>6</v>
      </c>
      <c r="B21" s="41">
        <f>IF(Grunddaten_Antrag!E31=0,0,IF(15-Grunddaten_Antrag!E31&lt;0,0,IF((15-Grunddaten_Antrag!E31)&lt;=8,(15-Grunddaten_Antrag!E31)*Basiswerte!H8*Grunddaten_Antrag!E26,8*Basiswerte!H8*Grunddaten_Antrag!E26)))</f>
        <v>0</v>
      </c>
      <c r="D21">
        <v>6</v>
      </c>
      <c r="F21">
        <v>3</v>
      </c>
      <c r="G21" s="43">
        <v>1.8200000000000001E-2</v>
      </c>
      <c r="J21" s="108" t="s">
        <v>320</v>
      </c>
      <c r="K21" s="108" t="s">
        <v>320</v>
      </c>
    </row>
    <row r="22" spans="1:21" x14ac:dyDescent="0.2">
      <c r="A22">
        <v>5</v>
      </c>
      <c r="B22" s="41">
        <f>IF(Grunddaten_Antrag!E31=0,0,IF(13-Grunddaten_Antrag!E31&lt;0,0,IF((13-Grunddaten_Antrag!E31)&lt;=6,(13-Grunddaten_Antrag!E31)*Basiswerte!I8*Grunddaten_Antrag!E26,6*Basiswerte!I8*Grunddaten_Antrag!E26)))</f>
        <v>0</v>
      </c>
      <c r="D22">
        <v>5</v>
      </c>
      <c r="F22">
        <v>2</v>
      </c>
      <c r="G22" s="43">
        <v>2.7E-2</v>
      </c>
      <c r="J22" s="108" t="s">
        <v>321</v>
      </c>
      <c r="K22" s="108" t="s">
        <v>321</v>
      </c>
    </row>
    <row r="23" spans="1:21" x14ac:dyDescent="0.2">
      <c r="A23">
        <v>4</v>
      </c>
      <c r="B23" s="41">
        <f>IF(Grunddaten_Antrag!E31=0,0,IF(10-Grunddaten_Antrag!E31&lt;0,0,IF((10-Grunddaten_Antrag!E31)&lt;=5,(10-Grunddaten_Antrag!E31)*Basiswerte!J8*Grunddaten_Antrag!E26,5*Basiswerte!J8*Grunddaten_Antrag!E26)))</f>
        <v>0</v>
      </c>
      <c r="D23">
        <v>4</v>
      </c>
      <c r="F23">
        <v>1</v>
      </c>
      <c r="G23" s="43">
        <v>5.5500000000000001E-2</v>
      </c>
      <c r="J23" s="108" t="s">
        <v>322</v>
      </c>
      <c r="K23" s="108" t="s">
        <v>322</v>
      </c>
    </row>
    <row r="24" spans="1:21" x14ac:dyDescent="0.2">
      <c r="A24">
        <v>3</v>
      </c>
      <c r="B24" s="41">
        <f>IF(Grunddaten_Antrag!E31=0,0,IF(8-Grunddaten_Antrag!E31&lt;0,0,IF((8-Grunddaten_Antrag!E31)&lt;=4,(8-Grunddaten_Antrag!E31)*Basiswerte!K8*Grunddaten_Antrag!E26,4*Basiswerte!K8*Grunddaten_Antrag!E26)))</f>
        <v>0</v>
      </c>
      <c r="D24">
        <v>3</v>
      </c>
      <c r="J24" s="108" t="s">
        <v>323</v>
      </c>
      <c r="K24" s="108" t="s">
        <v>323</v>
      </c>
      <c r="T24" s="901" t="s">
        <v>370</v>
      </c>
    </row>
    <row r="25" spans="1:21" x14ac:dyDescent="0.2">
      <c r="A25">
        <v>2</v>
      </c>
      <c r="B25" s="41">
        <f>IF(Grunddaten_Antrag!E31=0,0,IF(5-Grunddaten_Antrag!E31&lt;0,0,IF((5-Grunddaten_Antrag!E31)&lt;=3,(5-Grunddaten_Antrag!E31)*Basiswerte!L8*Grunddaten_Antrag!E26,3*Basiswerte!L8*Grunddaten_Antrag!E26)))</f>
        <v>0</v>
      </c>
      <c r="D25">
        <v>2</v>
      </c>
      <c r="J25" s="108" t="s">
        <v>324</v>
      </c>
      <c r="K25" s="108" t="s">
        <v>324</v>
      </c>
      <c r="T25" s="901"/>
    </row>
    <row r="26" spans="1:21" ht="10.5" customHeight="1" thickBot="1" x14ac:dyDescent="0.25">
      <c r="A26">
        <v>1</v>
      </c>
      <c r="B26" s="41">
        <f>IF(Grunddaten_Antrag!E31=0,0,IF(3-Grunddaten_Antrag!E31&lt;0,0,IF((3-Grunddaten_Antrag!E31)&lt;=1,(3-Grunddaten_Antrag!E31)*Basiswerte!M8*Grunddaten_Antrag!E26,1*Basiswerte!M8*Grunddaten_Antrag!E26)))</f>
        <v>0</v>
      </c>
      <c r="D26">
        <v>1</v>
      </c>
      <c r="M26" s="59" t="s">
        <v>199</v>
      </c>
      <c r="O26" s="59" t="s">
        <v>202</v>
      </c>
      <c r="Q26" s="59" t="s">
        <v>230</v>
      </c>
      <c r="S26" s="59" t="s">
        <v>290</v>
      </c>
      <c r="T26" s="901"/>
    </row>
    <row r="27" spans="1:21" ht="26.25" customHeight="1" x14ac:dyDescent="0.2">
      <c r="M27" s="37" t="s">
        <v>12</v>
      </c>
      <c r="O27" s="37" t="s">
        <v>96</v>
      </c>
      <c r="Q27" s="37" t="s">
        <v>96</v>
      </c>
      <c r="S27" s="37" t="s">
        <v>96</v>
      </c>
      <c r="T27" s="435" t="s">
        <v>373</v>
      </c>
      <c r="U27" s="436" t="s">
        <v>378</v>
      </c>
    </row>
    <row r="28" spans="1:21" ht="14.25" x14ac:dyDescent="0.2">
      <c r="K28" s="59" t="s">
        <v>204</v>
      </c>
      <c r="M28" t="s">
        <v>201</v>
      </c>
      <c r="O28" t="s">
        <v>182</v>
      </c>
      <c r="Q28" t="s">
        <v>170</v>
      </c>
      <c r="S28" t="s">
        <v>353</v>
      </c>
      <c r="T28" s="439">
        <v>7559.93</v>
      </c>
      <c r="U28" s="437">
        <f>T28*1.20678</f>
        <v>9123.17</v>
      </c>
    </row>
    <row r="29" spans="1:21" ht="14.25" x14ac:dyDescent="0.2">
      <c r="K29" s="37" t="s">
        <v>96</v>
      </c>
      <c r="M29" t="s">
        <v>200</v>
      </c>
      <c r="O29" t="s">
        <v>203</v>
      </c>
      <c r="Q29" t="s">
        <v>173</v>
      </c>
      <c r="S29" t="s">
        <v>354</v>
      </c>
      <c r="T29" s="439">
        <v>7915.3</v>
      </c>
      <c r="U29" s="437">
        <f t="shared" ref="U29:U32" si="0">T29*1.20678</f>
        <v>9552.0300000000007</v>
      </c>
    </row>
    <row r="30" spans="1:21" ht="14.25" x14ac:dyDescent="0.2">
      <c r="B30" s="899" t="s">
        <v>228</v>
      </c>
      <c r="C30" s="898"/>
      <c r="D30" t="s">
        <v>231</v>
      </c>
      <c r="E30" t="s">
        <v>292</v>
      </c>
      <c r="G30" s="114"/>
      <c r="K30" t="s">
        <v>204</v>
      </c>
      <c r="M30" t="s">
        <v>205</v>
      </c>
      <c r="O30" t="s">
        <v>204</v>
      </c>
      <c r="S30" t="s">
        <v>355</v>
      </c>
      <c r="T30" s="439">
        <v>7644.5</v>
      </c>
      <c r="U30" s="437">
        <f t="shared" si="0"/>
        <v>9225.23</v>
      </c>
    </row>
    <row r="31" spans="1:21" ht="14.25" x14ac:dyDescent="0.2">
      <c r="B31" s="898"/>
      <c r="C31" s="898"/>
      <c r="D31" t="s">
        <v>232</v>
      </c>
      <c r="E31" t="s">
        <v>293</v>
      </c>
      <c r="G31" s="114"/>
      <c r="K31" t="s">
        <v>182</v>
      </c>
      <c r="O31" t="s">
        <v>181</v>
      </c>
      <c r="S31" t="s">
        <v>356</v>
      </c>
      <c r="T31" s="439">
        <v>4456.09</v>
      </c>
      <c r="U31" s="437">
        <f t="shared" si="0"/>
        <v>5377.52</v>
      </c>
    </row>
    <row r="32" spans="1:21" ht="15" thickBot="1" x14ac:dyDescent="0.25">
      <c r="B32" s="898"/>
      <c r="C32" s="898"/>
      <c r="D32" t="s">
        <v>233</v>
      </c>
      <c r="E32" t="s">
        <v>200</v>
      </c>
      <c r="G32" s="114"/>
      <c r="M32" s="59" t="s">
        <v>211</v>
      </c>
      <c r="S32" t="s">
        <v>357</v>
      </c>
      <c r="T32" s="440">
        <v>4776.09</v>
      </c>
      <c r="U32" s="438">
        <f t="shared" si="0"/>
        <v>5763.69</v>
      </c>
    </row>
    <row r="33" spans="2:21" x14ac:dyDescent="0.2">
      <c r="B33" s="900">
        <f>SUM(Personal!U48:U87)</f>
        <v>0</v>
      </c>
      <c r="C33" s="900"/>
      <c r="E33" t="s">
        <v>294</v>
      </c>
      <c r="G33" s="114"/>
      <c r="M33" s="37" t="s">
        <v>12</v>
      </c>
      <c r="Q33" s="59" t="s">
        <v>234</v>
      </c>
      <c r="T33" s="434"/>
      <c r="U33" s="434"/>
    </row>
    <row r="34" spans="2:21" x14ac:dyDescent="0.2">
      <c r="G34" s="114"/>
      <c r="M34" t="s">
        <v>194</v>
      </c>
      <c r="Q34" s="37" t="s">
        <v>96</v>
      </c>
      <c r="T34" s="897" t="s">
        <v>371</v>
      </c>
      <c r="U34" s="434"/>
    </row>
    <row r="35" spans="2:21" x14ac:dyDescent="0.2">
      <c r="G35" s="114"/>
      <c r="M35" t="s">
        <v>195</v>
      </c>
      <c r="Q35" t="s">
        <v>205</v>
      </c>
      <c r="T35" s="897"/>
      <c r="U35" s="434"/>
    </row>
    <row r="36" spans="2:21" ht="13.5" thickBot="1" x14ac:dyDescent="0.25">
      <c r="G36" s="114"/>
      <c r="Q36" t="s">
        <v>206</v>
      </c>
      <c r="S36" s="59" t="s">
        <v>290</v>
      </c>
      <c r="T36" s="897"/>
      <c r="U36" s="434"/>
    </row>
    <row r="37" spans="2:21" ht="25.5" x14ac:dyDescent="0.2">
      <c r="S37" s="37" t="s">
        <v>96</v>
      </c>
      <c r="T37" s="435" t="s">
        <v>372</v>
      </c>
      <c r="U37" s="436" t="s">
        <v>377</v>
      </c>
    </row>
    <row r="38" spans="2:21" ht="14.25" x14ac:dyDescent="0.2">
      <c r="E38" s="59"/>
      <c r="M38" s="59" t="s">
        <v>212</v>
      </c>
      <c r="N38" s="111" t="s">
        <v>227</v>
      </c>
      <c r="O38" s="111" t="s">
        <v>220</v>
      </c>
      <c r="S38" t="s">
        <v>353</v>
      </c>
      <c r="T38" s="439">
        <v>4546.09</v>
      </c>
      <c r="U38" s="437">
        <f>T38*1.20678</f>
        <v>5486.13</v>
      </c>
    </row>
    <row r="39" spans="2:21" ht="14.25" x14ac:dyDescent="0.2">
      <c r="E39" s="211"/>
      <c r="M39" s="37" t="s">
        <v>12</v>
      </c>
      <c r="N39" s="40">
        <v>1</v>
      </c>
      <c r="O39" s="112">
        <v>625.74</v>
      </c>
      <c r="S39" t="s">
        <v>354</v>
      </c>
      <c r="T39" s="439">
        <v>4759.1099999999997</v>
      </c>
      <c r="U39" s="437">
        <f t="shared" ref="U39:U42" si="1">T39*1.20678</f>
        <v>5743.2</v>
      </c>
    </row>
    <row r="40" spans="2:21" ht="14.25" x14ac:dyDescent="0.2">
      <c r="E40" s="211"/>
      <c r="M40" t="s">
        <v>213</v>
      </c>
      <c r="N40" s="40">
        <v>2</v>
      </c>
      <c r="O40" s="112">
        <v>795.84</v>
      </c>
      <c r="S40" t="s">
        <v>355</v>
      </c>
      <c r="T40" s="439">
        <v>4685.74</v>
      </c>
      <c r="U40" s="437">
        <f t="shared" si="1"/>
        <v>5654.66</v>
      </c>
    </row>
    <row r="41" spans="2:21" ht="14.25" x14ac:dyDescent="0.2">
      <c r="E41" s="211"/>
      <c r="K41" s="59" t="s">
        <v>361</v>
      </c>
      <c r="M41" t="s">
        <v>214</v>
      </c>
      <c r="N41" s="40">
        <v>3</v>
      </c>
      <c r="O41" s="112">
        <v>1193.49</v>
      </c>
      <c r="S41" t="s">
        <v>356</v>
      </c>
      <c r="T41" s="439">
        <v>2644.23</v>
      </c>
      <c r="U41" s="437">
        <f t="shared" si="1"/>
        <v>3191</v>
      </c>
    </row>
    <row r="42" spans="2:21" ht="15" thickBot="1" x14ac:dyDescent="0.25">
      <c r="E42" s="211"/>
      <c r="M42" t="s">
        <v>215</v>
      </c>
      <c r="N42" s="40">
        <v>4</v>
      </c>
      <c r="O42" s="112">
        <v>3052.08</v>
      </c>
      <c r="S42" t="s">
        <v>357</v>
      </c>
      <c r="T42" s="440">
        <v>2837.08</v>
      </c>
      <c r="U42" s="438">
        <f t="shared" si="1"/>
        <v>3423.73</v>
      </c>
    </row>
    <row r="43" spans="2:21" x14ac:dyDescent="0.2">
      <c r="K43" s="335" t="e">
        <f>IF(Grunddaten_Antrag!E27=Grunddaten_Antrag!E28,Grunddaten_Antrag!E29*0.14,Grunddaten_Antrag!E30*0.14)</f>
        <v>#VALUE!</v>
      </c>
      <c r="M43" t="s">
        <v>216</v>
      </c>
      <c r="N43" s="40">
        <v>5</v>
      </c>
      <c r="O43" s="112">
        <v>4707.8999999999996</v>
      </c>
    </row>
    <row r="44" spans="2:21" x14ac:dyDescent="0.2">
      <c r="M44" t="s">
        <v>265</v>
      </c>
      <c r="N44" s="40">
        <v>6</v>
      </c>
      <c r="O44" s="112">
        <v>5337.93</v>
      </c>
    </row>
    <row r="45" spans="2:21" x14ac:dyDescent="0.2">
      <c r="M45" t="s">
        <v>264</v>
      </c>
    </row>
    <row r="46" spans="2:21" x14ac:dyDescent="0.2">
      <c r="M46" t="s">
        <v>217</v>
      </c>
    </row>
    <row r="47" spans="2:21" x14ac:dyDescent="0.2">
      <c r="E47" t="str">
        <f>IF(AND(Grunddaten_Antrag!E62="nein",Grunddaten_Antrag!E63="nein",Grunddaten_Antrag!E64="nein",Grunddaten_Antrag!E67="nein",Grunddaten_Antrag!E68="nein",Grunddaten_Antrag!E69="nein"),"schwarz",0)</f>
        <v>schwarz</v>
      </c>
    </row>
    <row r="50" spans="11:11" x14ac:dyDescent="0.2">
      <c r="K50" s="41" t="str">
        <f>IF(ISNA(VLOOKUP($E24,'kfU3'!$A$2:$D$1009,2,FALSE)),"",VLOOKUP($E24,'kfU3'!$A$2:$D$1009,2,FALSE))</f>
        <v/>
      </c>
    </row>
  </sheetData>
  <mergeCells count="6">
    <mergeCell ref="T34:T36"/>
    <mergeCell ref="E10:H11"/>
    <mergeCell ref="J12:K12"/>
    <mergeCell ref="B30:C32"/>
    <mergeCell ref="B33:C33"/>
    <mergeCell ref="T24:T26"/>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M18"/>
  <sheetViews>
    <sheetView workbookViewId="0">
      <selection activeCell="B13" sqref="B13"/>
    </sheetView>
  </sheetViews>
  <sheetFormatPr baseColWidth="10" defaultColWidth="11.5703125" defaultRowHeight="12.75" x14ac:dyDescent="0.2"/>
  <cols>
    <col min="1" max="1" width="20" style="1" customWidth="1"/>
    <col min="2" max="2" width="13.7109375" style="1" customWidth="1"/>
    <col min="3" max="6" width="11.5703125" style="1" customWidth="1"/>
    <col min="7" max="7" width="16.28515625" style="1" customWidth="1"/>
    <col min="8" max="16384" width="11.5703125" style="1"/>
  </cols>
  <sheetData>
    <row r="1" spans="1:13" x14ac:dyDescent="0.2">
      <c r="A1" s="903" t="s">
        <v>5</v>
      </c>
      <c r="B1" s="903"/>
      <c r="C1" s="903"/>
      <c r="D1" s="903"/>
      <c r="E1" s="903"/>
      <c r="F1" s="903"/>
      <c r="G1" s="903"/>
    </row>
    <row r="2" spans="1:13" x14ac:dyDescent="0.2">
      <c r="A2" s="5" t="s">
        <v>61</v>
      </c>
      <c r="B2" s="205">
        <v>1197.93</v>
      </c>
      <c r="C2" s="47"/>
      <c r="D2" s="47"/>
      <c r="E2" s="47"/>
      <c r="F2" s="47"/>
      <c r="G2" s="47"/>
      <c r="H2" s="47"/>
      <c r="I2" s="47"/>
      <c r="J2" s="47"/>
      <c r="K2" s="47"/>
      <c r="L2" s="47"/>
      <c r="M2" s="47"/>
    </row>
    <row r="3" spans="1:13" x14ac:dyDescent="0.2">
      <c r="A3" s="5" t="s">
        <v>62</v>
      </c>
      <c r="B3" s="6">
        <v>10.5</v>
      </c>
      <c r="C3" s="47"/>
      <c r="D3" s="47"/>
      <c r="E3" s="47"/>
      <c r="F3" s="47"/>
      <c r="G3" s="47"/>
      <c r="H3" s="47"/>
      <c r="I3" s="47"/>
      <c r="J3" s="47"/>
      <c r="K3" s="47"/>
      <c r="L3" s="47"/>
      <c r="M3" s="47"/>
    </row>
    <row r="4" spans="1:13" x14ac:dyDescent="0.2">
      <c r="A4" s="4" t="s">
        <v>17</v>
      </c>
      <c r="B4" s="6">
        <v>0.05</v>
      </c>
      <c r="C4" s="47"/>
      <c r="D4" s="47"/>
      <c r="E4" s="47"/>
      <c r="F4" s="47"/>
      <c r="G4" s="47"/>
      <c r="H4" s="47"/>
      <c r="I4" s="47"/>
      <c r="J4" s="47"/>
      <c r="K4" s="47"/>
      <c r="L4" s="47"/>
      <c r="M4" s="47"/>
    </row>
    <row r="5" spans="1:13" x14ac:dyDescent="0.2">
      <c r="A5" s="4" t="s">
        <v>18</v>
      </c>
      <c r="B5" s="7">
        <v>0.1</v>
      </c>
      <c r="C5" s="47"/>
      <c r="D5" s="47"/>
      <c r="E5" s="47"/>
      <c r="F5" s="47"/>
      <c r="G5" s="47"/>
      <c r="H5" s="47"/>
      <c r="I5" s="47"/>
      <c r="J5" s="47"/>
      <c r="K5" s="47"/>
      <c r="L5" s="47"/>
      <c r="M5" s="47"/>
    </row>
    <row r="6" spans="1:13" x14ac:dyDescent="0.2">
      <c r="A6" s="4" t="s">
        <v>19</v>
      </c>
      <c r="B6" s="7">
        <v>0.2</v>
      </c>
      <c r="C6" s="6">
        <v>0.3</v>
      </c>
      <c r="D6" s="47"/>
      <c r="E6" s="47"/>
      <c r="F6" s="47"/>
      <c r="G6" s="47"/>
      <c r="H6" s="47"/>
      <c r="I6" s="47"/>
      <c r="J6" s="47"/>
      <c r="K6" s="47"/>
      <c r="L6" s="47"/>
      <c r="M6" s="47"/>
    </row>
    <row r="7" spans="1:13" x14ac:dyDescent="0.2">
      <c r="A7" s="4" t="s">
        <v>20</v>
      </c>
      <c r="B7" s="7">
        <v>0.15</v>
      </c>
      <c r="C7" s="47"/>
      <c r="D7" s="47"/>
      <c r="E7" s="47"/>
      <c r="F7" s="47"/>
      <c r="G7" s="47"/>
      <c r="H7" s="47"/>
      <c r="I7" s="47"/>
      <c r="J7" s="47"/>
      <c r="K7" s="47"/>
      <c r="L7" s="47"/>
      <c r="M7" s="47"/>
    </row>
    <row r="8" spans="1:13" x14ac:dyDescent="0.2">
      <c r="A8" s="4" t="s">
        <v>22</v>
      </c>
      <c r="B8" s="8">
        <v>4.4999999999999997E-3</v>
      </c>
      <c r="C8" s="45">
        <v>5.0000000000000001E-3</v>
      </c>
      <c r="D8" s="46">
        <v>5.4999999999999997E-3</v>
      </c>
      <c r="E8" s="46">
        <v>6.1000000000000004E-3</v>
      </c>
      <c r="F8" s="46">
        <v>6.7999999999999996E-3</v>
      </c>
      <c r="G8" s="46">
        <v>7.7999999999999996E-3</v>
      </c>
      <c r="H8" s="46">
        <v>9.1000000000000004E-3</v>
      </c>
      <c r="I8" s="46">
        <v>1.0999999999999999E-2</v>
      </c>
      <c r="J8" s="46">
        <v>1.37E-2</v>
      </c>
      <c r="K8" s="46">
        <v>1.8200000000000001E-2</v>
      </c>
      <c r="L8" s="46">
        <v>2.7E-2</v>
      </c>
      <c r="M8" s="46">
        <v>5.5500000000000001E-2</v>
      </c>
    </row>
    <row r="9" spans="1:13" x14ac:dyDescent="0.2">
      <c r="A9" s="4" t="s">
        <v>23</v>
      </c>
      <c r="B9" s="7">
        <v>0.14000000000000001</v>
      </c>
      <c r="C9" s="47"/>
      <c r="D9" s="47"/>
      <c r="E9" s="47"/>
      <c r="F9" s="47"/>
      <c r="G9" s="47"/>
      <c r="H9" s="47"/>
      <c r="I9" s="47"/>
      <c r="J9" s="47"/>
      <c r="K9" s="47"/>
      <c r="L9" s="47"/>
      <c r="M9" s="47"/>
    </row>
    <row r="10" spans="1:13" x14ac:dyDescent="0.2">
      <c r="A10" s="4" t="s">
        <v>24</v>
      </c>
      <c r="B10" s="9">
        <f>B2*2*3</f>
        <v>7187.58</v>
      </c>
      <c r="C10" s="47"/>
      <c r="D10" s="47"/>
      <c r="E10" s="47"/>
      <c r="F10" s="47"/>
      <c r="G10" s="47"/>
      <c r="H10" s="47"/>
      <c r="I10" s="47"/>
      <c r="J10" s="47"/>
      <c r="K10" s="47"/>
      <c r="L10" s="47"/>
      <c r="M10" s="47"/>
    </row>
    <row r="11" spans="1:13" x14ac:dyDescent="0.2">
      <c r="A11" s="10"/>
      <c r="B11" s="47"/>
      <c r="C11" s="47"/>
      <c r="D11" s="47"/>
      <c r="E11" s="47"/>
      <c r="F11" s="47"/>
      <c r="G11" s="47"/>
      <c r="H11" s="47"/>
      <c r="I11" s="47"/>
      <c r="J11" s="47"/>
      <c r="K11" s="47"/>
      <c r="L11" s="47"/>
      <c r="M11" s="47"/>
    </row>
    <row r="12" spans="1:13" x14ac:dyDescent="0.2">
      <c r="A12" s="11" t="s">
        <v>73</v>
      </c>
      <c r="B12" s="107">
        <v>58650</v>
      </c>
      <c r="C12" s="47"/>
      <c r="D12" s="47"/>
      <c r="E12" s="47"/>
      <c r="F12" s="47"/>
      <c r="G12" s="47"/>
      <c r="H12" s="47"/>
      <c r="I12" s="47"/>
      <c r="J12" s="47"/>
      <c r="K12" s="47"/>
      <c r="L12" s="47"/>
      <c r="M12" s="47"/>
    </row>
    <row r="13" spans="1:13" s="106" customFormat="1" x14ac:dyDescent="0.2">
      <c r="A13" s="11" t="s">
        <v>177</v>
      </c>
      <c r="B13" s="206">
        <v>0.20677999999999999</v>
      </c>
    </row>
    <row r="14" spans="1:13" x14ac:dyDescent="0.2">
      <c r="A14" s="10"/>
      <c r="B14" s="13"/>
      <c r="C14" s="904"/>
      <c r="D14" s="904"/>
      <c r="E14" s="904"/>
      <c r="F14" s="904"/>
      <c r="G14" s="904"/>
      <c r="H14" s="47"/>
      <c r="I14" s="47"/>
      <c r="J14" s="47"/>
      <c r="K14" s="47"/>
      <c r="L14" s="47"/>
      <c r="M14" s="47"/>
    </row>
    <row r="15" spans="1:13" x14ac:dyDescent="0.2">
      <c r="A15" s="14" t="s">
        <v>63</v>
      </c>
      <c r="B15" s="12">
        <v>1200</v>
      </c>
      <c r="C15" s="902" t="s">
        <v>64</v>
      </c>
      <c r="D15" s="902"/>
      <c r="E15" s="902"/>
      <c r="F15" s="902"/>
      <c r="G15" s="902"/>
      <c r="H15" s="47"/>
      <c r="I15" s="47"/>
      <c r="J15" s="47"/>
      <c r="K15" s="47"/>
      <c r="L15" s="47"/>
      <c r="M15" s="47"/>
    </row>
    <row r="16" spans="1:13" x14ac:dyDescent="0.2">
      <c r="A16" s="14" t="s">
        <v>65</v>
      </c>
      <c r="B16" s="12">
        <v>600</v>
      </c>
      <c r="C16" s="902" t="s">
        <v>66</v>
      </c>
      <c r="D16" s="902"/>
      <c r="E16" s="902"/>
      <c r="F16" s="902"/>
      <c r="G16" s="902"/>
      <c r="H16" s="47"/>
      <c r="I16" s="47"/>
      <c r="J16" s="47"/>
      <c r="K16" s="47"/>
      <c r="L16" s="47"/>
      <c r="M16" s="47"/>
    </row>
    <row r="17" spans="1:13" x14ac:dyDescent="0.2">
      <c r="A17" s="14" t="s">
        <v>67</v>
      </c>
      <c r="B17" s="12">
        <v>1000</v>
      </c>
      <c r="C17" s="902" t="s">
        <v>68</v>
      </c>
      <c r="D17" s="902"/>
      <c r="E17" s="902"/>
      <c r="F17" s="902"/>
      <c r="G17" s="902"/>
      <c r="H17" s="47"/>
      <c r="I17" s="47"/>
      <c r="J17" s="47"/>
      <c r="K17" s="47"/>
      <c r="L17" s="47"/>
      <c r="M17" s="47"/>
    </row>
    <row r="18" spans="1:13" x14ac:dyDescent="0.2">
      <c r="A18" s="14" t="s">
        <v>69</v>
      </c>
      <c r="B18" s="12">
        <v>900</v>
      </c>
      <c r="C18" s="902" t="s">
        <v>70</v>
      </c>
      <c r="D18" s="902"/>
      <c r="E18" s="902"/>
      <c r="F18" s="902"/>
      <c r="G18" s="902"/>
      <c r="H18" s="47"/>
      <c r="I18" s="47"/>
      <c r="J18" s="47"/>
      <c r="K18" s="47"/>
      <c r="L18" s="47"/>
      <c r="M18" s="47"/>
    </row>
  </sheetData>
  <sheetProtection selectLockedCells="1"/>
  <mergeCells count="6">
    <mergeCell ref="C17:G17"/>
    <mergeCell ref="C18:G18"/>
    <mergeCell ref="A1:G1"/>
    <mergeCell ref="C14:G14"/>
    <mergeCell ref="C15:G15"/>
    <mergeCell ref="C16:G16"/>
  </mergeCells>
  <phoneticPr fontId="7" type="noConversion"/>
  <pageMargins left="0.53055555555555556" right="0.36041666666666666" top="1.0249999999999999" bottom="1.0249999999999999" header="0.78749999999999998" footer="0.78749999999999998"/>
  <pageSetup paperSize="9" scale="58" firstPageNumber="0" orientation="landscape" horizontalDpi="300" verticalDpi="300" r:id="rId1"/>
  <headerFooter alignWithMargins="0">
    <oddHeader>&amp;C&amp;A</oddHeader>
    <oddFooter>&amp;CSeite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vt:i4>
      </vt:variant>
    </vt:vector>
  </HeadingPairs>
  <TitlesOfParts>
    <vt:vector size="18" baseType="lpstr">
      <vt:lpstr>Anleitung</vt:lpstr>
      <vt:lpstr>Grunddaten_Antrag</vt:lpstr>
      <vt:lpstr>Personal</vt:lpstr>
      <vt:lpstr>AMZ</vt:lpstr>
      <vt:lpstr>S8b Ausgleich</vt:lpstr>
      <vt:lpstr>Beantragte MFF-Förderung</vt:lpstr>
      <vt:lpstr>Berechnungsprotokoll</vt:lpstr>
      <vt:lpstr>Tabelle2</vt:lpstr>
      <vt:lpstr>Basiswerte</vt:lpstr>
      <vt:lpstr>kfU3</vt:lpstr>
      <vt:lpstr>AMZ!Druckbereich</vt:lpstr>
      <vt:lpstr>Anleitung!Druckbereich</vt:lpstr>
      <vt:lpstr>'Beantragte MFF-Förderung'!Druckbereich</vt:lpstr>
      <vt:lpstr>Berechnungsprotokoll!Druckbereich</vt:lpstr>
      <vt:lpstr>Grunddaten_Antrag!Druckbereich</vt:lpstr>
      <vt:lpstr>Personal!Druckbereich</vt:lpstr>
      <vt:lpstr>'S8b Ausgleich'!Druckbereich</vt:lpstr>
      <vt:lpstr>Excel_BuiltIn_Print_Area_1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Kita-Admin</dc:creator>
  <cp:lastModifiedBy>Simone Beheim</cp:lastModifiedBy>
  <cp:lastPrinted>2020-06-30T14:38:25Z</cp:lastPrinted>
  <dcterms:created xsi:type="dcterms:W3CDTF">2015-12-02T09:43:34Z</dcterms:created>
  <dcterms:modified xsi:type="dcterms:W3CDTF">2020-06-30T16:08:03Z</dcterms:modified>
</cp:coreProperties>
</file>